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eder, -mellemledere/"/>
    </mc:Choice>
  </mc:AlternateContent>
  <xr:revisionPtr revIDLastSave="2467" documentId="13_ncr:1_{82C8F21D-BC80-4C9F-A721-66A0690AA473}" xr6:coauthVersionLast="47" xr6:coauthVersionMax="47" xr10:uidLastSave="{2A7B22A9-8BEE-4DD3-9E95-4402F62A9768}"/>
  <workbookProtection workbookAlgorithmName="SHA-512" workbookHashValue="Et3XNVBth26ZaCK/5wvJX4Z82kfxumIALcvIsfbDdpQ+vNRBnLV7Vo80SDwZC0s0NvdchmsY18Q776ySyTWGnw==" workbookSaltValue="+BE8UpN1z5J9pC67HFJqcA==" workbookSpinCount="100000" lockStructure="1"/>
  <bookViews>
    <workbookView xWindow="-96" yWindow="-96" windowWidth="23232" windowHeight="12552" tabRatio="706" firstSheet="1" activeTab="1" xr2:uid="{B55F606D-0E9C-430D-BA0E-224558F42BE5}"/>
  </bookViews>
  <sheets>
    <sheet name="Musikskolelærere" sheetId="5" state="hidden" r:id="rId1"/>
    <sheet name="Musikskoleledere_mellemledere" sheetId="6" r:id="rId2"/>
    <sheet name="Skoler, stedtillæg" sheetId="4" state="hidden" r:id="rId3"/>
    <sheet name="Løntabeller, pension, omregning" sheetId="3" state="hidden" r:id="rId4"/>
    <sheet name="KOMMUNALE LØNNINGER PR. 1. okto" sheetId="2" state="hidden" r:id="rId5"/>
    <sheet name="ATP"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6" l="1"/>
  <c r="B16" i="6"/>
  <c r="B15" i="6"/>
  <c r="D15" i="6" s="1"/>
  <c r="G48" i="3"/>
  <c r="B55" i="3"/>
  <c r="B46" i="3"/>
  <c r="D24" i="6" a="1"/>
  <c r="D24" i="6" s="1"/>
  <c r="D30" i="5" a="1"/>
  <c r="D30" i="5" s="1"/>
  <c r="D5" i="8"/>
  <c r="D4" i="8"/>
  <c r="D3" i="8"/>
  <c r="D2" i="8"/>
  <c r="E33" i="5"/>
  <c r="B18" i="6"/>
  <c r="D18" i="6" s="1"/>
  <c r="D27" i="6"/>
  <c r="D26" i="6"/>
  <c r="E32" i="5"/>
  <c r="B47" i="3"/>
  <c r="B53" i="3"/>
  <c r="B54" i="3"/>
  <c r="D35" i="6"/>
  <c r="D18" i="5"/>
  <c r="B59" i="3" l="1" a="1"/>
  <c r="B59" i="3" s="1"/>
  <c r="B14" i="6" s="1"/>
  <c r="B45" i="3"/>
  <c r="D16" i="6"/>
  <c r="B60" i="3" a="1"/>
  <c r="B60" i="3" s="1"/>
  <c r="B50" i="3" a="1"/>
  <c r="B50" i="3" s="1"/>
  <c r="D48" i="5" s="1"/>
  <c r="B49" i="3" a="1"/>
  <c r="B49" i="3" s="1"/>
  <c r="D17" i="6"/>
  <c r="E18" i="5"/>
  <c r="D46" i="5"/>
  <c r="D49" i="5"/>
  <c r="D20" i="5" s="1"/>
  <c r="E20" i="5" s="1"/>
  <c r="D14" i="6" l="1"/>
  <c r="D20" i="6" s="1"/>
  <c r="B19" i="6"/>
  <c r="B22" i="6"/>
  <c r="D17" i="5"/>
  <c r="D19" i="5"/>
  <c r="D35" i="5" s="1"/>
  <c r="E23" i="5" s="1"/>
  <c r="D25" i="5" l="1"/>
  <c r="D28" i="5"/>
  <c r="E28" i="5" s="1"/>
  <c r="E19" i="5"/>
  <c r="D22" i="6"/>
  <c r="D47" i="5"/>
  <c r="D19" i="6" l="1"/>
  <c r="D36" i="5" l="1"/>
  <c r="E21" i="5" s="1"/>
  <c r="E22" i="5"/>
  <c r="E17" i="5" l="1"/>
  <c r="E26" i="5" s="1"/>
  <c r="E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<sst xmlns="http://schemas.openxmlformats.org/spreadsheetml/2006/main" count="321" uniqueCount="258">
  <si>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</si>
  <si>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</si>
  <si>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</si>
  <si>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</si>
  <si>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</si>
  <si>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</si>
  <si>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</si>
  <si>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</si>
  <si>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</si>
  <si>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</si>
  <si>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</si>
  <si>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</si>
  <si>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</si>
  <si>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</si>
  <si>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</si>
  <si>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</si>
  <si>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</si>
  <si>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</si>
  <si>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</si>
  <si>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</si>
  <si>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</si>
  <si>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</si>
  <si>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</si>
  <si>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</si>
  <si>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</si>
  <si>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</si>
  <si>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</si>
  <si>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</si>
  <si>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</si>
  <si>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</si>
  <si>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</si>
  <si>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</si>
  <si>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</si>
  <si>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</si>
  <si>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</si>
  <si>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</si>
  <si>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</si>
  <si>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</si>
  <si>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</si>
  <si>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</si>
  <si>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</si>
  <si>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</si>
  <si>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</si>
  <si>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</si>
  <si>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</si>
  <si>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</si>
  <si>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</si>
  <si>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</si>
  <si>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</si>
  <si>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</si>
  <si>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</si>
  <si>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</si>
  <si>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</si>
  <si>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</si>
  <si>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</si>
  <si>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</si>
  <si>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</si>
  <si>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</si>
  <si>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</si>
  <si>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</si>
  <si>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</si>
  <si>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</si>
  <si>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</si>
  <si>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</si>
  <si>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</si>
  <si>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</si>
  <si>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</si>
  <si>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</si>
  <si>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</si>
  <si>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</si>
  <si>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</si>
  <si>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</si>
  <si>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</si>
  <si>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</si>
  <si>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</si>
  <si>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</si>
  <si>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</si>
  <si>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</si>
  <si>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</si>
  <si>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</si>
  <si>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</si>
  <si>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</si>
  <si>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</si>
  <si>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</si>
  <si>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</si>
  <si>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</si>
  <si>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</si>
  <si>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</si>
  <si>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</si>
  <si>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</si>
  <si>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</si>
  <si>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</si>
  <si>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</si>
  <si>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</si>
  <si>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</si>
  <si>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</si>
  <si>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</si>
  <si>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</si>
  <si>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</si>
  <si>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</si>
  <si>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</si>
  <si>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</si>
  <si>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</si>
  <si>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</si>
  <si>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</si>
  <si>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</si>
  <si>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</si>
  <si>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</si>
  <si>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</si>
  <si>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</si>
  <si>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</si>
  <si>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</si>
  <si>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</si>
  <si>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</si>
  <si>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</si>
  <si>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</si>
  <si>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</si>
  <si>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</si>
  <si>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</si>
  <si>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</si>
  <si>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</si>
  <si>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</si>
  <si>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</si>
  <si>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</si>
  <si>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</si>
  <si>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</si>
  <si>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</si>
  <si>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</si>
  <si>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</si>
  <si>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</si>
  <si>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</si>
  <si>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</si>
  <si>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</si>
  <si>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</si>
  <si>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</si>
  <si>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</si>
  <si>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</si>
  <si>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</si>
  <si>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</si>
  <si>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</si>
  <si>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</si>
  <si>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</si>
  <si>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</si>
  <si>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</si>
  <si>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</si>
  <si>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</si>
  <si>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</si>
  <si>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</si>
  <si>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</si>
  <si>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</si>
  <si>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</si>
  <si>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</si>
  <si>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</si>
  <si>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</si>
  <si>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</si>
  <si>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</si>
  <si>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</si>
  <si>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</si>
  <si>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</si>
  <si>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</si>
  <si>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</si>
  <si>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</si>
  <si>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</si>
  <si>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</si>
  <si>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</si>
  <si>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</si>
  <si>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</si>
  <si>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</si>
  <si>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</si>
  <si>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</si>
  <si>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</si>
  <si>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</si>
  <si>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</si>
  <si>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</si>
  <si>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</si>
  <si>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</si>
  <si>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</si>
  <si>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</si>
  <si>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</si>
  <si>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</si>
  <si>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</si>
  <si>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</si>
  <si>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</si>
  <si>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</si>
  <si>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</si>
  <si>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</si>
  <si>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</si>
  <si>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</si>
  <si>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</si>
  <si>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</si>
  <si>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</si>
  <si>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</si>
  <si>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</si>
  <si>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</si>
  <si>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</si>
  <si>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</si>
  <si>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</si>
  <si>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</si>
  <si>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</si>
  <si>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</si>
  <si>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</si>
  <si>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</si>
  <si>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</si>
  <si>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</si>
  <si>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</si>
  <si>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</si>
  <si>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</si>
  <si>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</si>
  <si>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</si>
  <si>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</si>
  <si>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</si>
  <si>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</si>
  <si>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</si>
  <si>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</si>
  <si>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</si>
  <si>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</si>
  <si>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</si>
  <si>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</si>
  <si>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</si>
  <si>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</si>
  <si>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</si>
  <si>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</si>
  <si>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</si>
  <si>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</si>
  <si>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</si>
  <si>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</si>
  <si>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</si>
  <si>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</si>
  <si>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</si>
  <si>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</si>
  <si>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</si>
  <si>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</si>
  <si>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</si>
  <si>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</si>
  <si>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</si>
  <si>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</si>
  <si>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</si>
  <si>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</si>
  <si>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</si>
  <si>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</si>
  <si>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</si>
  <si>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</si>
  <si>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</si>
  <si>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</si>
  <si>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</si>
  <si>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</si>
  <si>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</si>
  <si>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</si>
  <si>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</si>
  <si>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</si>
  <si>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</si>
  <si>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</si>
  <si>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</si>
  <si>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</si>
  <si>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</si>
  <si>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</si>
  <si>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 xml:space="preserve">Lønseddeltjek, musik- og kulturskolelærere fra d. 1. april 2023 </t>
  </si>
  <si>
    <t>Lønseddeltjek, musikskoleledere/-mellemledere fra d. 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</si>
</sst>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0.00\ &quot;kr.&quot;"/>
    <numFmt numFmtId="165" formatCode="0.000000"/>
  </numFmts>
  <fonts count="4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b/>
      <sz val="11"/>
      <color rgb="FF9FD4E3"/>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theme="1"/>
        <bgColor indexed="64"/>
      </patternFill>
    </fill>
  </fills>
  <borders count="66">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287">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0" fillId="4" borderId="0" xfId="0" applyNumberFormat="1" applyFill="1"/>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4" fontId="2" fillId="2" borderId="0" xfId="0" applyNumberFormat="1" applyFont="1" applyFill="1" applyAlignment="1">
      <alignment horizont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4" fontId="0" fillId="0" borderId="0" xfId="0" applyNumberFormat="1"/>
    <xf numFmtId="3" fontId="2" fillId="2" borderId="38" xfId="0" applyNumberFormat="1" applyFont="1" applyFill="1" applyBorder="1" applyAlignment="1">
      <alignment horizontal="center"/>
    </xf>
    <xf numFmtId="3" fontId="2" fillId="2" borderId="38" xfId="0" applyNumberFormat="1" applyFont="1" applyFill="1" applyBorder="1" applyAlignment="1">
      <alignment horizontal="right"/>
    </xf>
    <xf numFmtId="4" fontId="2" fillId="2" borderId="2" xfId="0" applyNumberFormat="1" applyFont="1" applyFill="1" applyBorder="1" applyAlignment="1">
      <alignment horizontal="center"/>
    </xf>
    <xf numFmtId="3" fontId="18" fillId="8" borderId="6" xfId="0" applyNumberFormat="1" applyFont="1" applyFill="1" applyBorder="1"/>
    <xf numFmtId="3" fontId="2" fillId="2" borderId="6" xfId="0" applyNumberFormat="1" applyFont="1" applyFill="1" applyBorder="1"/>
    <xf numFmtId="4" fontId="18" fillId="8" borderId="6" xfId="0" applyNumberFormat="1" applyFont="1" applyFill="1" applyBorder="1"/>
    <xf numFmtId="3" fontId="2" fillId="2" borderId="6" xfId="0" quotePrefix="1" applyNumberFormat="1" applyFont="1" applyFill="1" applyBorder="1" applyAlignment="1">
      <alignment horizontal="right"/>
    </xf>
    <xf numFmtId="4" fontId="2" fillId="2" borderId="6" xfId="0" quotePrefix="1" applyNumberFormat="1" applyFont="1" applyFill="1" applyBorder="1" applyAlignment="1">
      <alignment horizontal="right"/>
    </xf>
    <xf numFmtId="3" fontId="2" fillId="2" borderId="0" xfId="0" applyNumberFormat="1" applyFont="1" applyFill="1" applyAlignment="1">
      <alignment horizontal="right"/>
    </xf>
    <xf numFmtId="4" fontId="2" fillId="2" borderId="44" xfId="0" applyNumberFormat="1" applyFont="1" applyFill="1" applyBorder="1" applyAlignment="1">
      <alignment horizontal="center"/>
    </xf>
    <xf numFmtId="0" fontId="0" fillId="0" borderId="0" xfId="0" applyAlignment="1">
      <alignment horizontal="right"/>
    </xf>
    <xf numFmtId="0" fontId="32" fillId="0" borderId="0" xfId="0" applyFont="1" applyAlignment="1">
      <alignment horizontal="center"/>
    </xf>
    <xf numFmtId="164" fontId="30" fillId="0" borderId="6" xfId="0" applyNumberFormat="1" applyFont="1" applyBorder="1"/>
    <xf numFmtId="164"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4" fontId="30" fillId="0" borderId="23" xfId="0" applyNumberFormat="1" applyFont="1" applyBorder="1"/>
    <xf numFmtId="164" fontId="30" fillId="0" borderId="23" xfId="0" applyNumberFormat="1" applyFont="1" applyBorder="1" applyAlignment="1">
      <alignment horizontal="right"/>
    </xf>
    <xf numFmtId="164" fontId="29" fillId="0" borderId="12" xfId="0" applyNumberFormat="1" applyFont="1" applyBorder="1"/>
    <xf numFmtId="164" fontId="29" fillId="0" borderId="46" xfId="0" applyNumberFormat="1" applyFont="1" applyBorder="1"/>
    <xf numFmtId="164" fontId="29" fillId="0" borderId="47" xfId="0" applyNumberFormat="1" applyFont="1" applyBorder="1"/>
    <xf numFmtId="164"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5"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0" fontId="29" fillId="0" borderId="22" xfId="0" applyFont="1" applyBorder="1" applyAlignment="1">
      <alignment horizontal="left"/>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4" fontId="29" fillId="0" borderId="11" xfId="0" applyNumberFormat="1" applyFont="1" applyBorder="1"/>
    <xf numFmtId="0" fontId="0" fillId="0" borderId="7" xfId="0" applyBorder="1"/>
    <xf numFmtId="164" fontId="36" fillId="0" borderId="23" xfId="0" applyNumberFormat="1" applyFont="1" applyBorder="1"/>
    <xf numFmtId="164" fontId="29" fillId="3" borderId="9" xfId="0" applyNumberFormat="1" applyFont="1" applyFill="1" applyBorder="1"/>
    <xf numFmtId="164" fontId="29" fillId="3" borderId="12" xfId="0" applyNumberFormat="1" applyFont="1" applyFill="1" applyBorder="1"/>
    <xf numFmtId="164"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9" fillId="0" borderId="62" xfId="0" applyNumberFormat="1" applyFont="1" applyBorder="1"/>
    <xf numFmtId="164" fontId="29" fillId="0" borderId="35" xfId="0" applyNumberFormat="1" applyFont="1" applyBorder="1"/>
    <xf numFmtId="0" fontId="29" fillId="0" borderId="45" xfId="0" applyFont="1" applyBorder="1" applyAlignment="1">
      <alignment horizontal="left"/>
    </xf>
    <xf numFmtId="164" fontId="30" fillId="3" borderId="0" xfId="0" applyNumberFormat="1" applyFont="1" applyFill="1" applyAlignment="1">
      <alignment horizontal="center"/>
    </xf>
    <xf numFmtId="164" fontId="30" fillId="3" borderId="28" xfId="0" applyNumberFormat="1" applyFont="1" applyFill="1" applyBorder="1" applyAlignment="1">
      <alignment horizontal="center"/>
    </xf>
    <xf numFmtId="164" fontId="30" fillId="0" borderId="64" xfId="0" applyNumberFormat="1" applyFont="1" applyBorder="1"/>
    <xf numFmtId="2" fontId="31" fillId="10" borderId="6" xfId="0" applyNumberFormat="1" applyFont="1" applyFill="1" applyBorder="1" applyProtection="1">
      <protection locked="0" hidden="1"/>
    </xf>
    <xf numFmtId="37" fontId="16" fillId="6" borderId="27" xfId="0" applyNumberFormat="1" applyFont="1" applyFill="1" applyBorder="1"/>
    <xf numFmtId="37" fontId="16" fillId="6" borderId="0" xfId="0" applyNumberFormat="1" applyFont="1" applyFill="1"/>
    <xf numFmtId="37" fontId="16" fillId="6" borderId="28" xfId="0" applyNumberFormat="1" applyFont="1" applyFill="1" applyBorder="1"/>
    <xf numFmtId="37" fontId="16" fillId="6" borderId="29" xfId="0" applyNumberFormat="1" applyFont="1" applyFill="1" applyBorder="1"/>
    <xf numFmtId="37" fontId="16" fillId="6" borderId="30" xfId="0" applyNumberFormat="1" applyFont="1" applyFill="1" applyBorder="1"/>
    <xf numFmtId="37" fontId="16" fillId="6" borderId="31" xfId="0" applyNumberFormat="1" applyFont="1" applyFill="1" applyBorder="1"/>
    <xf numFmtId="37" fontId="2" fillId="6" borderId="27" xfId="0" applyNumberFormat="1" applyFont="1" applyFill="1" applyBorder="1"/>
    <xf numFmtId="37" fontId="2" fillId="6" borderId="0" xfId="0" applyNumberFormat="1" applyFont="1" applyFill="1"/>
    <xf numFmtId="37" fontId="2" fillId="6" borderId="28" xfId="0" applyNumberFormat="1" applyFont="1" applyFill="1" applyBorder="1"/>
    <xf numFmtId="37" fontId="2" fillId="6" borderId="29" xfId="0" applyNumberFormat="1" applyFont="1" applyFill="1" applyBorder="1"/>
    <xf numFmtId="37" fontId="2" fillId="6" borderId="30" xfId="0" applyNumberFormat="1" applyFont="1" applyFill="1" applyBorder="1"/>
    <xf numFmtId="37" fontId="2" fillId="6" borderId="31" xfId="0" applyNumberFormat="1" applyFont="1" applyFill="1" applyBorder="1"/>
    <xf numFmtId="0" fontId="0" fillId="4" borderId="0" xfId="0" applyFill="1"/>
    <xf numFmtId="39" fontId="16" fillId="11" borderId="27" xfId="0" applyNumberFormat="1" applyFont="1" applyFill="1" applyBorder="1"/>
    <xf numFmtId="39" fontId="16" fillId="11" borderId="0" xfId="0" applyNumberFormat="1" applyFont="1" applyFill="1"/>
    <xf numFmtId="39" fontId="16" fillId="11" borderId="29" xfId="0" applyNumberFormat="1" applyFont="1" applyFill="1" applyBorder="1"/>
    <xf numFmtId="39" fontId="16" fillId="11" borderId="30" xfId="0" applyNumberFormat="1" applyFont="1" applyFill="1" applyBorder="1"/>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Protection="1">
      <protection hidden="1"/>
    </xf>
    <xf numFmtId="0" fontId="31" fillId="10" borderId="23" xfId="0" applyFont="1" applyFill="1" applyBorder="1" applyProtection="1">
      <protection hidden="1"/>
    </xf>
    <xf numFmtId="0" fontId="29" fillId="0" borderId="22" xfId="0" applyFont="1" applyBorder="1"/>
    <xf numFmtId="0" fontId="29"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9" fillId="0" borderId="22" xfId="0" applyFont="1" applyBorder="1" applyAlignment="1">
      <alignment horizontal="left"/>
    </xf>
    <xf numFmtId="0" fontId="29" fillId="0" borderId="6" xfId="0" applyFont="1" applyBorder="1" applyAlignment="1">
      <alignment horizontal="left"/>
    </xf>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31" fillId="10" borderId="36" xfId="0" applyFont="1" applyFill="1" applyBorder="1" applyAlignment="1" applyProtection="1">
      <alignment horizontal="left"/>
      <protection locked="0" hidden="1"/>
    </xf>
    <xf numFmtId="0" fontId="31" fillId="10" borderId="41" xfId="0" applyFont="1" applyFill="1" applyBorder="1" applyAlignment="1" applyProtection="1">
      <alignment horizontal="left"/>
      <protection locked="0" hidden="1"/>
    </xf>
    <xf numFmtId="0" fontId="31"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4" fontId="30" fillId="0" borderId="6" xfId="0" applyNumberFormat="1" applyFont="1" applyBorder="1"/>
    <xf numFmtId="164" fontId="29" fillId="0" borderId="6" xfId="0" applyNumberFormat="1" applyFont="1" applyBorder="1"/>
    <xf numFmtId="164" fontId="29" fillId="0" borderId="53" xfId="0" applyNumberFormat="1" applyFont="1" applyBorder="1"/>
    <xf numFmtId="164"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29" fillId="0" borderId="10" xfId="0" applyFont="1" applyBorder="1" applyAlignment="1">
      <alignment horizontal="left"/>
    </xf>
    <xf numFmtId="0" fontId="29" fillId="0" borderId="11" xfId="0" applyFont="1" applyBorder="1" applyAlignment="1">
      <alignment horizontal="left"/>
    </xf>
    <xf numFmtId="164" fontId="30" fillId="9" borderId="53" xfId="0" applyNumberFormat="1" applyFont="1" applyFill="1" applyBorder="1" applyAlignment="1">
      <alignment horizontal="center"/>
    </xf>
    <xf numFmtId="164" fontId="30" fillId="9" borderId="50" xfId="0" applyNumberFormat="1" applyFont="1" applyFill="1" applyBorder="1" applyAlignment="1">
      <alignment horizontal="center"/>
    </xf>
    <xf numFmtId="164" fontId="31" fillId="10" borderId="6" xfId="0" applyNumberFormat="1" applyFont="1" applyFill="1" applyBorder="1" applyAlignment="1" applyProtection="1">
      <alignment horizontal="left"/>
      <protection locked="0" hidden="1"/>
    </xf>
    <xf numFmtId="2" fontId="31" fillId="10" borderId="6" xfId="0" applyNumberFormat="1" applyFont="1" applyFill="1" applyBorder="1" applyAlignment="1" applyProtection="1">
      <alignment horizontal="left"/>
      <protection locked="0" hidden="1"/>
    </xf>
    <xf numFmtId="0" fontId="31" fillId="10" borderId="11" xfId="0" applyFont="1" applyFill="1" applyBorder="1" applyAlignment="1" applyProtection="1">
      <alignment horizontal="left"/>
      <protection locked="0" hidden="1"/>
    </xf>
    <xf numFmtId="0" fontId="27" fillId="0" borderId="0" xfId="0" applyFont="1" applyAlignment="1">
      <alignment horizontal="left" wrapText="1"/>
    </xf>
    <xf numFmtId="0" fontId="40" fillId="10" borderId="65" xfId="0" applyFont="1" applyFill="1" applyBorder="1" applyProtection="1">
      <protection locked="0" hidden="1"/>
    </xf>
    <xf numFmtId="0" fontId="40" fillId="10" borderId="56" xfId="0" applyFont="1" applyFill="1" applyBorder="1" applyProtection="1">
      <protection locked="0" hidden="1"/>
    </xf>
    <xf numFmtId="0" fontId="40" fillId="10" borderId="54" xfId="0" applyFont="1" applyFill="1" applyBorder="1" applyProtection="1">
      <protection locked="0" hidden="1"/>
    </xf>
    <xf numFmtId="0" fontId="31" fillId="10" borderId="6" xfId="0" applyFont="1" applyFill="1" applyBorder="1" applyProtection="1">
      <protection locked="0" hidden="1"/>
    </xf>
    <xf numFmtId="0" fontId="31" fillId="10" borderId="6" xfId="0" applyFont="1" applyFill="1" applyBorder="1" applyAlignment="1" applyProtection="1">
      <alignment horizontal="left"/>
      <protection hidden="1"/>
    </xf>
    <xf numFmtId="0" fontId="31" fillId="10" borderId="6" xfId="0" applyFont="1" applyFill="1" applyBorder="1" applyAlignment="1" applyProtection="1">
      <alignment horizontal="left"/>
      <protection locked="0" hidden="1"/>
    </xf>
    <xf numFmtId="0" fontId="5" fillId="0" borderId="0" xfId="0" applyFont="1" applyAlignment="1">
      <alignment horizontal="center"/>
    </xf>
    <xf numFmtId="4" fontId="2" fillId="2" borderId="42" xfId="0" applyNumberFormat="1" applyFont="1" applyFill="1" applyBorder="1" applyAlignment="1">
      <alignment horizontal="center"/>
    </xf>
    <xf numFmtId="4" fontId="2" fillId="2" borderId="41" xfId="0" applyNumberFormat="1" applyFont="1" applyFill="1" applyBorder="1" applyAlignment="1">
      <alignment horizontal="center"/>
    </xf>
    <xf numFmtId="4" fontId="2" fillId="2" borderId="37" xfId="0" applyNumberFormat="1" applyFont="1" applyFill="1" applyBorder="1" applyAlignment="1">
      <alignment horizontal="center"/>
    </xf>
    <xf numFmtId="4" fontId="1" fillId="0" borderId="0" xfId="0" applyNumberFormat="1" applyFont="1"/>
    <xf numFmtId="4" fontId="2" fillId="2" borderId="43"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9FD4E3"/>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985114</xdr:colOff>
      <xdr:row>0</xdr:row>
      <xdr:rowOff>486577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A1:K69"/>
  <sheetViews>
    <sheetView showGridLines="0" zoomScaleNormal="100" workbookViewId="0">
      <selection activeCell="B4" sqref="B4"/>
    </sheetView>
  </sheetViews>
  <sheetFormatPr defaultRowHeight="14.4"/>
  <cols>
    <col min="1" max="1" width="31.9453125" bestFit="1" customWidth="1"/>
    <col min="2" max="2" width="5.3125" bestFit="1" customWidth="1"/>
    <col min="3" max="3" width="18.05078125" customWidth="1"/>
    <col min="4" max="4" width="24.20703125" customWidth="1"/>
    <col min="5" max="5" width="22.734375" customWidth="1"/>
    <col min="9" max="9" width="24.62890625" bestFit="1" customWidth="1"/>
  </cols>
  <sheetData>
    <row r="1" spans="1:11" ht="47.5" customHeight="1">
      <c r="A1" s="134"/>
      <c r="B1" s="180" t="s">
        <v>256</v>
      </c>
      <c r="C1" s="180"/>
      <c r="D1" s="180"/>
      <c r="E1" s="181"/>
      <c r="F1" s="141"/>
      <c r="G1" s="141"/>
      <c r="H1" s="141"/>
      <c r="I1" s="141"/>
      <c r="J1" s="141"/>
      <c r="K1" s="141"/>
    </row>
    <row r="2" spans="1:11">
      <c r="A2" s="92" t="s">
        <v>180</v>
      </c>
      <c r="B2" s="188"/>
      <c r="C2" s="188"/>
      <c r="D2" s="188"/>
      <c r="E2" s="189"/>
      <c r="H2" s="142" t="s">
        <v>196</v>
      </c>
    </row>
    <row r="3" spans="1:11" ht="42.4" customHeight="1">
      <c r="A3" s="92" t="s">
        <v>240</v>
      </c>
      <c r="B3" s="188"/>
      <c r="C3" s="188"/>
      <c r="D3" s="188"/>
      <c r="E3" s="189"/>
      <c r="H3" s="142" t="s">
        <v>197</v>
      </c>
    </row>
    <row r="4" spans="1:11">
      <c r="A4" s="91" t="s">
        <v>198</v>
      </c>
      <c r="B4" s="151"/>
      <c r="C4" s="182" t="s">
        <v>179</v>
      </c>
      <c r="D4" s="182"/>
      <c r="E4" s="183"/>
    </row>
    <row r="5" spans="1:11">
      <c r="A5" s="91" t="s">
        <v>241</v>
      </c>
      <c r="B5" s="190"/>
      <c r="C5" s="190"/>
      <c r="D5" s="190"/>
      <c r="E5" s="191"/>
    </row>
    <row r="6" spans="1:11" ht="28.8">
      <c r="A6" s="92" t="s">
        <v>248</v>
      </c>
      <c r="B6" s="192"/>
      <c r="C6" s="192"/>
      <c r="D6" s="192"/>
      <c r="E6" s="193"/>
    </row>
    <row r="7" spans="1:11" ht="43.2">
      <c r="A7" s="92" t="s">
        <v>251</v>
      </c>
      <c r="B7" s="192"/>
      <c r="C7" s="192"/>
      <c r="D7" s="192"/>
      <c r="E7" s="193"/>
    </row>
    <row r="8" spans="1:11" ht="28.8">
      <c r="A8" s="92" t="s">
        <v>185</v>
      </c>
      <c r="B8" s="186"/>
      <c r="C8" s="186"/>
      <c r="D8" s="186"/>
      <c r="E8" s="187"/>
    </row>
    <row r="9" spans="1:11">
      <c r="A9" s="92" t="s">
        <v>229</v>
      </c>
      <c r="B9" s="186"/>
      <c r="C9" s="186"/>
      <c r="D9" s="186"/>
      <c r="E9" s="187"/>
    </row>
    <row r="10" spans="1:11">
      <c r="A10" s="92" t="s">
        <v>228</v>
      </c>
      <c r="B10" s="186"/>
      <c r="C10" s="186"/>
      <c r="D10" s="186"/>
      <c r="E10" s="187"/>
    </row>
    <row r="11" spans="1:11">
      <c r="A11" s="92" t="s">
        <v>218</v>
      </c>
      <c r="B11" s="186"/>
      <c r="C11" s="186"/>
      <c r="D11" s="186"/>
      <c r="E11" s="187"/>
    </row>
    <row r="12" spans="1:11" ht="14.7" thickBot="1">
      <c r="A12" s="93" t="s">
        <v>219</v>
      </c>
      <c r="B12" s="206"/>
      <c r="C12" s="206"/>
      <c r="D12" s="206"/>
      <c r="E12" s="207"/>
    </row>
    <row r="14" spans="1:11" ht="19.2" customHeight="1" thickBot="1">
      <c r="E14" s="106"/>
    </row>
    <row r="15" spans="1:11" ht="28.9" customHeight="1" thickBot="1">
      <c r="A15" s="230" t="s">
        <v>181</v>
      </c>
      <c r="B15" s="231"/>
      <c r="C15" s="231"/>
      <c r="D15" s="231"/>
      <c r="E15" s="232"/>
    </row>
    <row r="16" spans="1:11">
      <c r="A16" s="196"/>
      <c r="B16" s="197"/>
      <c r="C16" s="197"/>
      <c r="D16" s="109" t="s">
        <v>230</v>
      </c>
      <c r="E16" s="110" t="s">
        <v>231</v>
      </c>
    </row>
    <row r="17" spans="1:5">
      <c r="A17" s="184" t="s">
        <v>182</v>
      </c>
      <c r="B17" s="185"/>
      <c r="C17" s="185"/>
      <c r="D17" s="107" t="e">
        <f>'Løntabeller, pension, omregning'!B49*B4/37</f>
        <v>#N/A</v>
      </c>
      <c r="E17" s="111" t="e">
        <f>D17/12</f>
        <v>#N/A</v>
      </c>
    </row>
    <row r="18" spans="1:5">
      <c r="A18" s="184" t="s">
        <v>201</v>
      </c>
      <c r="B18" s="185"/>
      <c r="C18" s="185"/>
      <c r="D18" s="107">
        <f>'Løntabeller, pension, omregning'!B44*'Løntabeller, pension, omregning'!C37*B4/37</f>
        <v>0</v>
      </c>
      <c r="E18" s="111">
        <f>D18/12</f>
        <v>0</v>
      </c>
    </row>
    <row r="19" spans="1:5">
      <c r="A19" s="184" t="s">
        <v>183</v>
      </c>
      <c r="B19" s="185"/>
      <c r="C19" s="185"/>
      <c r="D19" s="107">
        <f>B6*D49*B4/37</f>
        <v>0</v>
      </c>
      <c r="E19" s="111">
        <f t="shared" ref="E19:E20" si="0">D19/12</f>
        <v>0</v>
      </c>
    </row>
    <row r="20" spans="1:5">
      <c r="A20" s="184" t="s">
        <v>184</v>
      </c>
      <c r="B20" s="185"/>
      <c r="C20" s="185"/>
      <c r="D20" s="107">
        <f>B7*D49</f>
        <v>0</v>
      </c>
      <c r="E20" s="111">
        <f t="shared" si="0"/>
        <v>0</v>
      </c>
    </row>
    <row r="21" spans="1:5">
      <c r="A21" s="194" t="s">
        <v>186</v>
      </c>
      <c r="B21" s="195"/>
      <c r="C21" s="195"/>
      <c r="D21" s="211"/>
      <c r="E21" s="112" t="e">
        <f>B8*D36</f>
        <v>#N/A</v>
      </c>
    </row>
    <row r="22" spans="1:5">
      <c r="A22" s="194" t="s">
        <v>227</v>
      </c>
      <c r="B22" s="195"/>
      <c r="C22" s="195"/>
      <c r="D22" s="212"/>
      <c r="E22" s="112" t="e">
        <f>B9*D35</f>
        <v>#N/A</v>
      </c>
    </row>
    <row r="23" spans="1:5">
      <c r="A23" s="194" t="s">
        <v>226</v>
      </c>
      <c r="B23" s="195"/>
      <c r="C23" s="195"/>
      <c r="D23" s="212"/>
      <c r="E23" s="112" t="e">
        <f>B10*D35*1.5</f>
        <v>#N/A</v>
      </c>
    </row>
    <row r="24" spans="1:5">
      <c r="A24" s="143"/>
      <c r="D24" s="213"/>
      <c r="E24" s="144"/>
    </row>
    <row r="25" spans="1:5" ht="30" customHeight="1" thickBot="1">
      <c r="A25" s="201" t="s">
        <v>224</v>
      </c>
      <c r="B25" s="202"/>
      <c r="C25" s="202"/>
      <c r="D25" s="133" t="e">
        <f>SUM(D17:D20)</f>
        <v>#N/A</v>
      </c>
      <c r="E25" s="113" t="e">
        <f>D25/12</f>
        <v>#N/A</v>
      </c>
    </row>
    <row r="26" spans="1:5" ht="43.35" customHeight="1" thickBot="1">
      <c r="A26" s="172" t="s">
        <v>236</v>
      </c>
      <c r="B26" s="173"/>
      <c r="C26" s="173"/>
      <c r="D26" s="145"/>
      <c r="E26" s="146" t="e">
        <f>E17+E18+E19+E20+E21+E22+E23+E32+E33</f>
        <v>#N/A</v>
      </c>
    </row>
    <row r="27" spans="1:5" ht="14.7" thickBot="1">
      <c r="A27" s="226"/>
      <c r="B27" s="226"/>
      <c r="C27" s="226"/>
      <c r="D27" s="226"/>
      <c r="E27" s="226"/>
    </row>
    <row r="28" spans="1:5" ht="14.7" thickBot="1">
      <c r="A28" s="224" t="s">
        <v>252</v>
      </c>
      <c r="B28" s="225"/>
      <c r="C28" s="225"/>
      <c r="D28" s="114" t="e">
        <f>(('Løntabeller, pension, omregning'!B49+('Løntabeller, pension, omregning'!B44*'Løntabeller, pension, omregning'!C37)+Musikskolelærere!D19+Musikskolelærere!D20)*'Løntabeller, pension, omregning'!C38/100*B4/37)</f>
        <v>#N/A</v>
      </c>
      <c r="E28" s="115" t="e">
        <f>D28/12</f>
        <v>#N/A</v>
      </c>
    </row>
    <row r="29" spans="1:5" ht="14.7" thickBot="1">
      <c r="A29" s="89"/>
      <c r="B29" s="89"/>
      <c r="C29" s="89"/>
      <c r="D29" s="89"/>
      <c r="E29" s="108"/>
    </row>
    <row r="30" spans="1:5" ht="14.7" thickBot="1">
      <c r="A30" s="174" t="s">
        <v>233</v>
      </c>
      <c r="B30" s="175"/>
      <c r="C30" s="176"/>
      <c r="D30" s="138" cm="1">
        <f t="array" ref="D30">_xlfn.IFS(B4&gt;=27,-ATP!B2,Musikskolelærere!B4&gt;=18,-ATP!B3,Musikskolelærere!B4&gt;=9,-ATP!B4,Musikskolelærere!B4&lt;9,0)</f>
        <v>0</v>
      </c>
      <c r="E30" s="108"/>
    </row>
    <row r="31" spans="1:5" ht="14.7" thickBot="1">
      <c r="A31" s="89"/>
      <c r="B31" s="89"/>
      <c r="C31" s="89"/>
      <c r="D31" s="89"/>
      <c r="E31" s="108"/>
    </row>
    <row r="32" spans="1:5">
      <c r="A32" s="218" t="s">
        <v>216</v>
      </c>
      <c r="B32" s="219"/>
      <c r="C32" s="219"/>
      <c r="D32" s="220"/>
      <c r="E32" s="136">
        <f>B11*'Løntabeller, pension, omregning'!C40</f>
        <v>0</v>
      </c>
    </row>
    <row r="33" spans="1:5" ht="14.7" thickBot="1">
      <c r="A33" s="221" t="s">
        <v>217</v>
      </c>
      <c r="B33" s="222"/>
      <c r="C33" s="222"/>
      <c r="D33" s="223"/>
      <c r="E33" s="137">
        <f>B12*'Løntabeller, pension, omregning'!C41</f>
        <v>0</v>
      </c>
    </row>
    <row r="34" spans="1:5" ht="14.7" thickBot="1">
      <c r="A34" s="89"/>
      <c r="B34" s="89"/>
      <c r="C34" s="89"/>
      <c r="D34" s="89"/>
      <c r="E34" s="108"/>
    </row>
    <row r="35" spans="1:5">
      <c r="A35" s="214" t="s">
        <v>189</v>
      </c>
      <c r="B35" s="215"/>
      <c r="C35" s="215"/>
      <c r="D35" s="116" t="e">
        <f>('Løntabeller, pension, omregning'!B49+('Løntabeller, pension, omregning'!B44*'Løntabeller, pension, omregning'!C37)+Musikskolelærere!D19+Musikskolelærere!D20)/1924</f>
        <v>#N/A</v>
      </c>
      <c r="E35" s="108"/>
    </row>
    <row r="36" spans="1:5" ht="14.7" thickBot="1">
      <c r="A36" s="216" t="s">
        <v>255</v>
      </c>
      <c r="B36" s="217"/>
      <c r="C36" s="217"/>
      <c r="D36" s="113" t="e">
        <f>D35/4</f>
        <v>#N/A</v>
      </c>
      <c r="E36" s="108"/>
    </row>
    <row r="37" spans="1:5" ht="14.7" thickBot="1"/>
    <row r="38" spans="1:5" ht="23.4" thickBot="1">
      <c r="A38" s="198" t="s">
        <v>202</v>
      </c>
      <c r="B38" s="199"/>
      <c r="C38" s="199"/>
      <c r="D38" s="199"/>
      <c r="E38" s="200"/>
    </row>
    <row r="39" spans="1:5" s="117" customFormat="1">
      <c r="A39" s="169" t="s">
        <v>199</v>
      </c>
      <c r="B39" s="170"/>
      <c r="C39" s="170"/>
      <c r="D39" s="170"/>
      <c r="E39" s="171"/>
    </row>
    <row r="40" spans="1:5" ht="27.6" customHeight="1">
      <c r="A40" s="227" t="s">
        <v>249</v>
      </c>
      <c r="B40" s="228"/>
      <c r="C40" s="228"/>
      <c r="D40" s="228"/>
      <c r="E40" s="229"/>
    </row>
    <row r="41" spans="1:5" ht="59.05" customHeight="1">
      <c r="A41" s="177" t="s">
        <v>250</v>
      </c>
      <c r="B41" s="178"/>
      <c r="C41" s="178"/>
      <c r="D41" s="178"/>
      <c r="E41" s="179"/>
    </row>
    <row r="42" spans="1:5" s="12" customFormat="1" ht="45.4" customHeight="1">
      <c r="A42" s="227" t="s">
        <v>253</v>
      </c>
      <c r="B42" s="228"/>
      <c r="C42" s="228"/>
      <c r="D42" s="228"/>
      <c r="E42" s="229"/>
    </row>
    <row r="43" spans="1:5" ht="41.5" customHeight="1" thickBot="1">
      <c r="A43" s="208" t="s">
        <v>254</v>
      </c>
      <c r="B43" s="209"/>
      <c r="C43" s="209"/>
      <c r="D43" s="209"/>
      <c r="E43" s="210"/>
    </row>
    <row r="44" spans="1:5" ht="14.7" thickBot="1">
      <c r="A44" s="203" t="s">
        <v>237</v>
      </c>
      <c r="B44" s="204"/>
      <c r="C44" s="204"/>
      <c r="D44" s="204"/>
      <c r="E44" s="205"/>
    </row>
    <row r="45" spans="1:5">
      <c r="A45" s="125"/>
      <c r="B45" s="125"/>
      <c r="C45" s="125"/>
      <c r="D45" s="125"/>
      <c r="E45" s="125"/>
    </row>
    <row r="46" spans="1:5" ht="28.2">
      <c r="A46" s="118" t="s">
        <v>190</v>
      </c>
      <c r="B46" s="119"/>
      <c r="C46" s="120"/>
      <c r="D46" s="119" t="e">
        <f>'Løntabeller, pension, omregning'!B46</f>
        <v>#N/A</v>
      </c>
      <c r="E46" s="125"/>
    </row>
    <row r="47" spans="1:5" ht="28.2">
      <c r="A47" s="118" t="s">
        <v>182</v>
      </c>
      <c r="B47" s="119"/>
      <c r="C47" s="120"/>
      <c r="D47" s="121" t="e">
        <f>'Løntabeller, pension, omregning'!B49</f>
        <v>#N/A</v>
      </c>
      <c r="E47" s="125"/>
    </row>
    <row r="48" spans="1:5" ht="28.2">
      <c r="A48" s="118" t="s">
        <v>210</v>
      </c>
      <c r="B48" s="119"/>
      <c r="C48" s="120"/>
      <c r="D48" s="121" t="e">
        <f>'Løntabeller, pension, omregning'!B50</f>
        <v>#N/A</v>
      </c>
      <c r="E48" s="125"/>
    </row>
    <row r="49" spans="1:5" ht="28.2">
      <c r="A49" s="118" t="s">
        <v>194</v>
      </c>
      <c r="B49" s="119"/>
      <c r="C49" s="120"/>
      <c r="D49" s="122">
        <f>'Løntabeller, pension, omregning'!C37</f>
        <v>1.4983040000000001</v>
      </c>
      <c r="E49" s="125"/>
    </row>
    <row r="50" spans="1:5">
      <c r="E50" s="125"/>
    </row>
    <row r="51" spans="1:5">
      <c r="A51" s="125"/>
      <c r="B51" s="125"/>
      <c r="C51" s="125"/>
      <c r="D51" s="125"/>
      <c r="E51" s="125"/>
    </row>
    <row r="52" spans="1:5">
      <c r="A52" s="125"/>
      <c r="B52" s="125"/>
      <c r="C52" s="125"/>
      <c r="D52" s="125"/>
      <c r="E52" s="125"/>
    </row>
    <row r="53" spans="1:5">
      <c r="A53" s="125"/>
      <c r="B53" s="125"/>
      <c r="C53" s="125"/>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c r="A63" s="125"/>
      <c r="B63" s="125"/>
      <c r="C63" s="125"/>
      <c r="D63" s="125"/>
      <c r="E63" s="125"/>
    </row>
    <row r="64" spans="1:5">
      <c r="A64" s="125"/>
      <c r="B64" s="125"/>
      <c r="C64" s="125"/>
      <c r="D64" s="125"/>
      <c r="E64" s="125"/>
    </row>
    <row r="65" spans="1:5">
      <c r="A65" s="125"/>
      <c r="B65" s="125"/>
      <c r="C65" s="125"/>
      <c r="D65" s="125"/>
      <c r="E65" s="125"/>
    </row>
    <row r="66" spans="1:5">
      <c r="A66" s="125"/>
      <c r="B66" s="125"/>
      <c r="C66" s="125"/>
      <c r="D66" s="125"/>
      <c r="E66" s="125"/>
    </row>
    <row r="67" spans="1:5">
      <c r="A67" s="125"/>
      <c r="B67" s="125"/>
      <c r="C67" s="125"/>
      <c r="D67" s="125"/>
      <c r="E67" s="125"/>
    </row>
    <row r="68" spans="1:5">
      <c r="A68" s="125"/>
      <c r="B68" s="125"/>
      <c r="C68" s="125"/>
      <c r="D68" s="125"/>
      <c r="E68" s="125"/>
    </row>
    <row r="69" spans="1:5">
      <c r="A69" s="125"/>
      <c r="B69" s="125"/>
      <c r="C69" s="125"/>
      <c r="D69" s="125"/>
      <c r="E69" s="125"/>
    </row>
  </sheetData>
  <sheetProtection selectLockedCells="1"/>
  <mergeCells count="38">
    <mergeCell ref="A44:E44"/>
    <mergeCell ref="B11:E11"/>
    <mergeCell ref="B12:E12"/>
    <mergeCell ref="A43:E43"/>
    <mergeCell ref="D21:D24"/>
    <mergeCell ref="A35:C35"/>
    <mergeCell ref="A36:C36"/>
    <mergeCell ref="A32:D32"/>
    <mergeCell ref="A33:D33"/>
    <mergeCell ref="A28:C28"/>
    <mergeCell ref="A27:E27"/>
    <mergeCell ref="A22:C22"/>
    <mergeCell ref="A40:E40"/>
    <mergeCell ref="A42:E42"/>
    <mergeCell ref="A15:E15"/>
    <mergeCell ref="A17:C17"/>
    <mergeCell ref="A21:C21"/>
    <mergeCell ref="A16:C16"/>
    <mergeCell ref="A23:C23"/>
    <mergeCell ref="A18:C18"/>
    <mergeCell ref="A38:E38"/>
    <mergeCell ref="A25:C25"/>
    <mergeCell ref="A39:E39"/>
    <mergeCell ref="A26:C26"/>
    <mergeCell ref="A30:C30"/>
    <mergeCell ref="A41:E41"/>
    <mergeCell ref="B1:E1"/>
    <mergeCell ref="C4:E4"/>
    <mergeCell ref="A19:C19"/>
    <mergeCell ref="A20:C20"/>
    <mergeCell ref="B10:E10"/>
    <mergeCell ref="B3:E3"/>
    <mergeCell ref="B5:E5"/>
    <mergeCell ref="B6:E6"/>
    <mergeCell ref="B7:E7"/>
    <mergeCell ref="B2:E2"/>
    <mergeCell ref="B9:E9"/>
    <mergeCell ref="B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showRowColHeaders="0" tabSelected="1" workbookViewId="0">
      <selection activeCell="B2" sqref="B2:D2"/>
    </sheetView>
  </sheetViews>
  <sheetFormatPr defaultRowHeight="14.4"/>
  <cols>
    <col min="1" max="1" width="31.62890625" bestFit="1" customWidth="1"/>
    <col min="2" max="2" width="5.5234375" customWidth="1"/>
    <col min="3" max="3" width="15.5234375" customWidth="1"/>
    <col min="4" max="4" width="21.62890625" customWidth="1"/>
  </cols>
  <sheetData>
    <row r="1" spans="1:6" ht="93" customHeight="1" thickBot="1">
      <c r="B1" s="264" t="s">
        <v>257</v>
      </c>
      <c r="C1" s="264"/>
      <c r="D1" s="264"/>
    </row>
    <row r="2" spans="1:6">
      <c r="A2" s="90" t="s">
        <v>180</v>
      </c>
      <c r="B2" s="265"/>
      <c r="C2" s="266"/>
      <c r="D2" s="267"/>
    </row>
    <row r="3" spans="1:6" ht="29.05" customHeight="1">
      <c r="A3" s="92" t="s">
        <v>240</v>
      </c>
      <c r="B3" s="268"/>
      <c r="C3" s="268"/>
      <c r="D3" s="268"/>
    </row>
    <row r="4" spans="1:6">
      <c r="A4" s="91" t="s">
        <v>198</v>
      </c>
      <c r="B4" s="151"/>
      <c r="C4" s="269">
        <v>37</v>
      </c>
      <c r="D4" s="269"/>
    </row>
    <row r="5" spans="1:6">
      <c r="A5" s="91" t="s">
        <v>241</v>
      </c>
      <c r="B5" s="270"/>
      <c r="C5" s="270"/>
      <c r="D5" s="270"/>
    </row>
    <row r="6" spans="1:6">
      <c r="A6" s="91" t="s">
        <v>242</v>
      </c>
      <c r="B6" s="236"/>
      <c r="C6" s="237"/>
      <c r="D6" s="238"/>
    </row>
    <row r="7" spans="1:6" ht="28.8">
      <c r="A7" s="92" t="s">
        <v>238</v>
      </c>
      <c r="B7" s="261"/>
      <c r="C7" s="261"/>
      <c r="D7" s="261"/>
    </row>
    <row r="8" spans="1:6" ht="28.8">
      <c r="A8" s="92" t="s">
        <v>239</v>
      </c>
      <c r="B8" s="261"/>
      <c r="C8" s="261"/>
      <c r="D8" s="261"/>
      <c r="F8" s="124"/>
    </row>
    <row r="9" spans="1:6">
      <c r="A9" s="92" t="s">
        <v>220</v>
      </c>
      <c r="B9" s="262"/>
      <c r="C9" s="262"/>
      <c r="D9" s="262"/>
      <c r="F9" s="124"/>
    </row>
    <row r="10" spans="1:6">
      <c r="A10" s="92" t="s">
        <v>221</v>
      </c>
      <c r="B10" s="262"/>
      <c r="C10" s="262"/>
      <c r="D10" s="262"/>
      <c r="F10" s="124"/>
    </row>
    <row r="11" spans="1:6" ht="28.9" customHeight="1" thickBot="1">
      <c r="A11" s="93" t="s">
        <v>203</v>
      </c>
      <c r="B11" s="263"/>
      <c r="C11" s="263"/>
      <c r="D11" s="263"/>
      <c r="F11" s="124"/>
    </row>
    <row r="12" spans="1:6" ht="28.5" thickBot="1">
      <c r="B12" s="106"/>
      <c r="C12" s="106"/>
      <c r="D12" s="106"/>
      <c r="F12" s="124"/>
    </row>
    <row r="13" spans="1:6" ht="23.1">
      <c r="A13" s="128" t="s">
        <v>222</v>
      </c>
      <c r="B13" s="248" t="s">
        <v>187</v>
      </c>
      <c r="C13" s="248"/>
      <c r="D13" s="110" t="s">
        <v>188</v>
      </c>
      <c r="F13" s="124"/>
    </row>
    <row r="14" spans="1:6">
      <c r="A14" s="91" t="s">
        <v>182</v>
      </c>
      <c r="B14" s="242" t="e">
        <f>'Løntabeller, pension, omregning'!B59</f>
        <v>#N/A</v>
      </c>
      <c r="C14" s="242"/>
      <c r="D14" s="111" t="e">
        <f>B14/12</f>
        <v>#N/A</v>
      </c>
      <c r="F14" s="124"/>
    </row>
    <row r="15" spans="1:6">
      <c r="A15" s="91" t="s">
        <v>243</v>
      </c>
      <c r="B15" s="242">
        <f>IF(B6="Ja",'Løntabeller, pension, omregning'!B56*'Løntabeller, pension, omregning'!C37*Musikskoleledere_mellemledere!B4/37,0)</f>
        <v>0</v>
      </c>
      <c r="C15" s="242"/>
      <c r="D15" s="111">
        <f>B15/12</f>
        <v>0</v>
      </c>
      <c r="F15" s="124"/>
    </row>
    <row r="16" spans="1:6">
      <c r="A16" s="129" t="s">
        <v>225</v>
      </c>
      <c r="B16" s="242">
        <f>B7*'Løntabeller, pension, omregning'!C37*B4/37</f>
        <v>0</v>
      </c>
      <c r="C16" s="242"/>
      <c r="D16" s="111">
        <f>B16/12</f>
        <v>0</v>
      </c>
      <c r="F16" s="124"/>
    </row>
    <row r="17" spans="1:6">
      <c r="A17" s="91" t="s">
        <v>184</v>
      </c>
      <c r="B17" s="242">
        <f>B8*'Løntabeller, pension, omregning'!C37</f>
        <v>0</v>
      </c>
      <c r="C17" s="242"/>
      <c r="D17" s="111">
        <f>B17/12</f>
        <v>0</v>
      </c>
      <c r="F17" s="124"/>
    </row>
    <row r="18" spans="1:6" ht="15" customHeight="1">
      <c r="A18" s="126" t="s">
        <v>204</v>
      </c>
      <c r="B18" s="242">
        <f>B11*'Løntabeller, pension, omregning'!C42*'Løntabeller, pension, omregning'!C37</f>
        <v>0</v>
      </c>
      <c r="C18" s="242"/>
      <c r="D18" s="111">
        <f>B18/12</f>
        <v>0</v>
      </c>
    </row>
    <row r="19" spans="1:6" ht="30.6" customHeight="1">
      <c r="A19" s="130" t="s">
        <v>223</v>
      </c>
      <c r="B19" s="243" t="e">
        <f>B14+B15+B16+B17+B18</f>
        <v>#N/A</v>
      </c>
      <c r="C19" s="243"/>
      <c r="D19" s="135" t="e">
        <f>D14+D15+D16+D17+D18</f>
        <v>#N/A</v>
      </c>
    </row>
    <row r="20" spans="1:6" ht="43.5" thickBot="1">
      <c r="A20" s="131" t="s">
        <v>235</v>
      </c>
      <c r="B20" s="217"/>
      <c r="C20" s="217"/>
      <c r="D20" s="113" t="e">
        <f>D14+D15+D16+D17+D18+D24+D26+D27</f>
        <v>#N/A</v>
      </c>
    </row>
    <row r="21" spans="1:6" ht="14.7" thickBot="1">
      <c r="A21" s="132"/>
      <c r="B21" s="89"/>
      <c r="C21" s="108"/>
      <c r="D21" s="108"/>
    </row>
    <row r="22" spans="1:6" ht="14.7" thickBot="1">
      <c r="A22" s="123" t="s">
        <v>244</v>
      </c>
      <c r="B22" s="244" t="e">
        <f>('Løntabeller, pension, omregning'!B60+B15+B16+B17+B18)*'Løntabeller, pension, omregning'!C39/100</f>
        <v>#N/A</v>
      </c>
      <c r="C22" s="245"/>
      <c r="D22" s="115" t="e">
        <f>B22/12</f>
        <v>#N/A</v>
      </c>
    </row>
    <row r="23" spans="1:6" ht="14.7" thickBot="1">
      <c r="A23" s="89"/>
      <c r="B23" s="89"/>
      <c r="C23" s="89"/>
      <c r="D23" s="89"/>
    </row>
    <row r="24" spans="1:6" ht="15" customHeight="1" thickBot="1">
      <c r="A24" s="147" t="s">
        <v>232</v>
      </c>
      <c r="B24" s="259"/>
      <c r="C24" s="260"/>
      <c r="D24" s="115" cm="1">
        <f t="array" ref="D24">_xlfn.IFS(B4&gt;=27,-ATP!B2,Musikskoleledere_mellemledere!B4&gt;=18,-ATP!B3,Musikskoleledere_mellemledere!B4&gt;9,-ATP!B4,Musikskoleledere_mellemledere!B4&lt;9,0)</f>
        <v>0</v>
      </c>
    </row>
    <row r="25" spans="1:6" ht="15" customHeight="1" thickBot="1">
      <c r="A25" s="140"/>
      <c r="B25" s="148"/>
      <c r="C25" s="149"/>
      <c r="D25" s="150"/>
    </row>
    <row r="26" spans="1:6">
      <c r="A26" s="255" t="s">
        <v>216</v>
      </c>
      <c r="B26" s="256"/>
      <c r="C26" s="256"/>
      <c r="D26" s="116">
        <f>B9*'Løntabeller, pension, omregning'!C40</f>
        <v>0</v>
      </c>
    </row>
    <row r="27" spans="1:6" ht="14.7" thickBot="1">
      <c r="A27" s="257" t="s">
        <v>217</v>
      </c>
      <c r="B27" s="258"/>
      <c r="C27" s="258"/>
      <c r="D27" s="113">
        <f>B10*'Løntabeller, pension, omregning'!C41</f>
        <v>0</v>
      </c>
    </row>
    <row r="28" spans="1:6" ht="15" customHeight="1" thickBot="1">
      <c r="B28" s="127"/>
      <c r="C28" s="127"/>
      <c r="D28" s="127"/>
    </row>
    <row r="29" spans="1:6" ht="23.1">
      <c r="A29" s="252" t="s">
        <v>202</v>
      </c>
      <c r="B29" s="253"/>
      <c r="C29" s="253"/>
      <c r="D29" s="254"/>
    </row>
    <row r="30" spans="1:6" ht="14.5" customHeight="1">
      <c r="A30" s="249" t="s">
        <v>199</v>
      </c>
      <c r="B30" s="250"/>
      <c r="C30" s="250"/>
      <c r="D30" s="251"/>
    </row>
    <row r="31" spans="1:6" ht="14.5" customHeight="1">
      <c r="A31" s="227" t="s">
        <v>247</v>
      </c>
      <c r="B31" s="228"/>
      <c r="C31" s="228"/>
      <c r="D31" s="229"/>
    </row>
    <row r="32" spans="1:6" ht="29.5" customHeight="1">
      <c r="A32" s="177" t="s">
        <v>245</v>
      </c>
      <c r="B32" s="246"/>
      <c r="C32" s="246"/>
      <c r="D32" s="247"/>
    </row>
    <row r="33" spans="1:5" ht="45.6" customHeight="1" thickBot="1">
      <c r="A33" s="239" t="s">
        <v>246</v>
      </c>
      <c r="B33" s="240"/>
      <c r="C33" s="240"/>
      <c r="D33" s="241"/>
    </row>
    <row r="34" spans="1:5" ht="31.75" customHeight="1" thickBot="1">
      <c r="A34" s="233" t="s">
        <v>237</v>
      </c>
      <c r="B34" s="234"/>
      <c r="C34" s="234"/>
      <c r="D34" s="235"/>
      <c r="E34" s="139"/>
    </row>
    <row r="35" spans="1:5" ht="28.2">
      <c r="A35" s="118" t="s">
        <v>194</v>
      </c>
      <c r="B35" s="119"/>
      <c r="C35" s="120"/>
      <c r="D35" s="121">
        <f>'Løntabeller, pension, omregning'!C39</f>
        <v>17.09</v>
      </c>
    </row>
    <row r="36" spans="1:5">
      <c r="A36" s="118" t="s">
        <v>195</v>
      </c>
      <c r="B36" s="124"/>
      <c r="C36" s="124"/>
      <c r="D36" s="124"/>
    </row>
    <row r="37" spans="1:5">
      <c r="A37" s="124"/>
      <c r="B37" s="124"/>
      <c r="C37" s="124"/>
      <c r="D37" s="124"/>
    </row>
    <row r="38" spans="1:5">
      <c r="A38" s="124"/>
      <c r="B38" s="124"/>
      <c r="C38" s="124"/>
      <c r="D38" s="124"/>
    </row>
    <row r="39" spans="1:5">
      <c r="A39" s="124"/>
      <c r="B39" s="124"/>
      <c r="C39" s="124"/>
      <c r="D39" s="124"/>
    </row>
    <row r="40" spans="1:5">
      <c r="A40" s="124"/>
      <c r="B40" s="124"/>
      <c r="C40" s="124"/>
      <c r="D40" s="124"/>
    </row>
    <row r="41" spans="1:5">
      <c r="A41" s="124"/>
      <c r="B41" s="124"/>
      <c r="C41" s="124"/>
      <c r="D41" s="124"/>
    </row>
    <row r="42" spans="1:5">
      <c r="A42" s="124"/>
      <c r="B42" s="124"/>
      <c r="C42" s="124"/>
      <c r="D42" s="124"/>
    </row>
    <row r="43" spans="1:5">
      <c r="A43" s="124"/>
      <c r="B43" s="124"/>
      <c r="C43" s="124"/>
      <c r="D43" s="124"/>
    </row>
    <row r="44" spans="1:5">
      <c r="A44" s="124"/>
      <c r="B44" s="124"/>
      <c r="C44" s="124"/>
      <c r="D44" s="124"/>
    </row>
    <row r="45" spans="1:5">
      <c r="A45" s="124"/>
      <c r="B45" s="124"/>
      <c r="C45" s="124"/>
      <c r="D45" s="124"/>
    </row>
    <row r="46" spans="1:5">
      <c r="A46" s="124"/>
      <c r="B46" s="124"/>
      <c r="C46" s="124"/>
      <c r="D46" s="124"/>
    </row>
    <row r="47" spans="1:5">
      <c r="A47" s="124"/>
      <c r="B47" s="124"/>
      <c r="C47" s="124"/>
      <c r="D47" s="124"/>
    </row>
    <row r="48" spans="1:5">
      <c r="A48" s="124"/>
      <c r="B48" s="124"/>
      <c r="C48" s="124"/>
      <c r="D48" s="124"/>
    </row>
    <row r="49" spans="1:4">
      <c r="A49" s="124"/>
      <c r="B49" s="124"/>
      <c r="C49" s="124"/>
      <c r="D49" s="124"/>
    </row>
    <row r="50" spans="1:4">
      <c r="A50" s="124"/>
      <c r="B50" s="124"/>
      <c r="C50" s="124"/>
      <c r="D50" s="124"/>
    </row>
    <row r="51" spans="1:4">
      <c r="A51" s="124"/>
      <c r="B51" s="124"/>
      <c r="C51" s="124"/>
      <c r="D51" s="124"/>
    </row>
    <row r="52" spans="1:4">
      <c r="A52" s="124"/>
      <c r="B52" s="124"/>
      <c r="C52" s="124"/>
      <c r="D52" s="124"/>
    </row>
    <row r="53" spans="1:4">
      <c r="A53" s="124"/>
      <c r="B53" s="124"/>
      <c r="C53" s="124"/>
      <c r="D53" s="124"/>
    </row>
    <row r="54" spans="1:4">
      <c r="A54" s="124"/>
      <c r="B54" s="124"/>
      <c r="C54" s="124"/>
      <c r="D54" s="124"/>
    </row>
    <row r="55" spans="1:4">
      <c r="A55" s="124"/>
      <c r="B55" s="124"/>
      <c r="C55" s="124"/>
      <c r="D55" s="124"/>
    </row>
    <row r="56" spans="1:4">
      <c r="A56" s="124"/>
      <c r="B56" s="124"/>
      <c r="C56" s="124"/>
      <c r="D56" s="124"/>
    </row>
    <row r="57" spans="1:4">
      <c r="A57" s="124"/>
      <c r="B57" s="124"/>
      <c r="C57" s="124"/>
      <c r="D57" s="124"/>
    </row>
    <row r="58" spans="1:4">
      <c r="A58" s="124"/>
    </row>
  </sheetData>
  <sheetProtection algorithmName="SHA-512" hashValue="9u+FP1JsuocqOGl0/1Aji3rVd1z2x6EWPFIfozLhxzsox4LTbTPIAFnQhxeF+FYlOKdpT0KaWAdgaNM2HUZvqA==" saltValue="SrTL2ZddXRYg4wWJY9jkXg==" spinCount="100000" sheet="1" selectLockedCells="1"/>
  <mergeCells count="29">
    <mergeCell ref="B1:D1"/>
    <mergeCell ref="B2:D2"/>
    <mergeCell ref="B3:D3"/>
    <mergeCell ref="C4:D4"/>
    <mergeCell ref="B5:D5"/>
    <mergeCell ref="A27:C27"/>
    <mergeCell ref="B24:C24"/>
    <mergeCell ref="B15:C15"/>
    <mergeCell ref="B7:D7"/>
    <mergeCell ref="B9:D9"/>
    <mergeCell ref="B11:D11"/>
    <mergeCell ref="B8:D8"/>
    <mergeCell ref="B10:D10"/>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'Løntabeller, pension, omregning'!$B$62:$B$63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4"/>
  <cols>
    <col min="1" max="1" width="17" customWidth="1"/>
  </cols>
  <sheetData>
    <row r="1" spans="1:2" ht="14.7" thickBot="1">
      <c r="A1" s="80" t="s">
        <v>80</v>
      </c>
      <c r="B1" s="81">
        <v>4</v>
      </c>
    </row>
    <row r="2" spans="1:2" ht="14.7" thickBot="1">
      <c r="A2" s="80" t="s">
        <v>81</v>
      </c>
      <c r="B2" s="81">
        <v>3</v>
      </c>
    </row>
    <row r="3" spans="1:2" ht="14.7" thickBot="1">
      <c r="A3" s="80" t="s">
        <v>137</v>
      </c>
      <c r="B3" s="81">
        <v>0</v>
      </c>
    </row>
    <row r="4" spans="1:2" ht="14.7" thickBot="1">
      <c r="A4" s="80" t="s">
        <v>82</v>
      </c>
      <c r="B4" s="81">
        <v>4</v>
      </c>
    </row>
    <row r="5" spans="1:2" ht="14.7" thickBot="1">
      <c r="A5" s="80" t="s">
        <v>138</v>
      </c>
      <c r="B5" s="81">
        <v>0</v>
      </c>
    </row>
    <row r="6" spans="1:2" ht="14.7" thickBot="1">
      <c r="A6" s="80" t="s">
        <v>139</v>
      </c>
      <c r="B6" s="81">
        <v>0</v>
      </c>
    </row>
    <row r="7" spans="1:2" ht="14.7" thickBot="1">
      <c r="A7" s="80" t="s">
        <v>83</v>
      </c>
      <c r="B7" s="81">
        <v>0</v>
      </c>
    </row>
    <row r="8" spans="1:2" ht="14.7" thickBot="1">
      <c r="A8" s="80" t="s">
        <v>84</v>
      </c>
      <c r="B8" s="81">
        <v>4</v>
      </c>
    </row>
    <row r="9" spans="1:2" ht="14.7" thickBot="1">
      <c r="A9" s="80" t="s">
        <v>126</v>
      </c>
      <c r="B9" s="81">
        <v>0</v>
      </c>
    </row>
    <row r="10" spans="1:2" ht="14.7" thickBot="1">
      <c r="A10" s="80" t="s">
        <v>85</v>
      </c>
      <c r="B10" s="81">
        <v>4</v>
      </c>
    </row>
    <row r="11" spans="1:2" ht="14.7" thickBot="1">
      <c r="A11" s="80" t="s">
        <v>86</v>
      </c>
      <c r="B11" s="81">
        <v>4</v>
      </c>
    </row>
    <row r="12" spans="1:2" ht="14.7" thickBot="1">
      <c r="A12" s="80" t="s">
        <v>140</v>
      </c>
      <c r="B12" s="81">
        <v>1</v>
      </c>
    </row>
    <row r="13" spans="1:2" ht="14.7" thickBot="1">
      <c r="A13" s="80" t="s">
        <v>141</v>
      </c>
      <c r="B13" s="81">
        <v>0</v>
      </c>
    </row>
    <row r="14" spans="1:2" ht="14.7" thickBot="1">
      <c r="A14" s="80" t="s">
        <v>159</v>
      </c>
      <c r="B14" s="81">
        <v>0</v>
      </c>
    </row>
    <row r="15" spans="1:2" ht="14.7" thickBot="1">
      <c r="A15" s="80" t="s">
        <v>110</v>
      </c>
      <c r="B15" s="81">
        <v>0</v>
      </c>
    </row>
    <row r="16" spans="1:2" ht="14.7" thickBot="1">
      <c r="A16" s="80" t="s">
        <v>87</v>
      </c>
      <c r="B16" s="81">
        <v>3</v>
      </c>
    </row>
    <row r="17" spans="1:2" ht="14.7" thickBot="1">
      <c r="A17" s="80" t="s">
        <v>142</v>
      </c>
      <c r="B17" s="81">
        <v>0</v>
      </c>
    </row>
    <row r="18" spans="1:2" ht="14.7" thickBot="1">
      <c r="A18" s="86" t="s">
        <v>88</v>
      </c>
      <c r="B18" s="81">
        <v>4</v>
      </c>
    </row>
    <row r="19" spans="1:2" ht="14.7" thickBot="1">
      <c r="A19" s="80" t="s">
        <v>127</v>
      </c>
      <c r="B19" s="81">
        <v>1</v>
      </c>
    </row>
    <row r="20" spans="1:2" ht="14.7" thickBot="1">
      <c r="A20" s="86" t="s">
        <v>89</v>
      </c>
      <c r="B20" s="81">
        <v>3</v>
      </c>
    </row>
    <row r="21" spans="1:2" ht="14.7" thickBot="1">
      <c r="A21" s="80" t="s">
        <v>91</v>
      </c>
      <c r="B21" s="81">
        <v>4</v>
      </c>
    </row>
    <row r="22" spans="1:2" ht="14.7" thickBot="1">
      <c r="A22" s="80" t="s">
        <v>143</v>
      </c>
      <c r="B22" s="81">
        <v>1</v>
      </c>
    </row>
    <row r="23" spans="1:2" ht="14.7" thickBot="1">
      <c r="A23" s="80" t="s">
        <v>92</v>
      </c>
      <c r="B23" s="81">
        <v>4</v>
      </c>
    </row>
    <row r="24" spans="1:2" ht="14.7" thickBot="1">
      <c r="A24" s="80" t="s">
        <v>93</v>
      </c>
      <c r="B24" s="81">
        <v>4</v>
      </c>
    </row>
    <row r="25" spans="1:2" ht="14.7" thickBot="1">
      <c r="A25" s="80" t="s">
        <v>94</v>
      </c>
      <c r="B25" s="81">
        <v>4</v>
      </c>
    </row>
    <row r="26" spans="1:2" ht="14.7" thickBot="1">
      <c r="A26" s="80" t="s">
        <v>95</v>
      </c>
      <c r="B26" s="81">
        <v>4</v>
      </c>
    </row>
    <row r="27" spans="1:2" ht="14.7" thickBot="1">
      <c r="A27" s="80" t="s">
        <v>96</v>
      </c>
      <c r="B27" s="81">
        <v>3</v>
      </c>
    </row>
    <row r="28" spans="1:2" ht="14.7" thickBot="1">
      <c r="A28" s="86" t="s">
        <v>111</v>
      </c>
      <c r="B28" s="81">
        <v>0</v>
      </c>
    </row>
    <row r="29" spans="1:2" ht="14.7" thickBot="1">
      <c r="A29" s="80" t="s">
        <v>144</v>
      </c>
      <c r="B29" s="81">
        <v>0</v>
      </c>
    </row>
    <row r="30" spans="1:2" ht="14.7" thickBot="1">
      <c r="A30" s="80" t="s">
        <v>90</v>
      </c>
      <c r="B30" s="81">
        <v>3</v>
      </c>
    </row>
    <row r="31" spans="1:2" ht="14.7" thickBot="1">
      <c r="A31" s="82" t="s">
        <v>160</v>
      </c>
      <c r="B31" s="81">
        <v>0</v>
      </c>
    </row>
    <row r="32" spans="1:2" ht="14.7" thickBot="1">
      <c r="A32" s="82" t="s">
        <v>97</v>
      </c>
      <c r="B32" s="81">
        <v>3</v>
      </c>
    </row>
    <row r="33" spans="1:2" ht="14.7" thickBot="1">
      <c r="A33" s="82" t="s">
        <v>98</v>
      </c>
      <c r="B33" s="81">
        <v>4</v>
      </c>
    </row>
    <row r="34" spans="1:2" ht="14.7" thickBot="1">
      <c r="A34" s="82" t="s">
        <v>161</v>
      </c>
      <c r="B34" s="81">
        <v>0</v>
      </c>
    </row>
    <row r="35" spans="1:2" ht="14.7" thickBot="1">
      <c r="A35" s="82" t="s">
        <v>99</v>
      </c>
      <c r="B35" s="81">
        <v>3</v>
      </c>
    </row>
    <row r="36" spans="1:2" ht="14.7" thickBot="1">
      <c r="A36" s="82" t="s">
        <v>128</v>
      </c>
      <c r="B36" s="81">
        <v>0</v>
      </c>
    </row>
    <row r="37" spans="1:2" ht="14.7" thickBot="1">
      <c r="A37" s="82" t="s">
        <v>112</v>
      </c>
      <c r="B37" s="81">
        <v>0</v>
      </c>
    </row>
    <row r="38" spans="1:2" ht="14.7" thickBot="1">
      <c r="A38" s="82" t="s">
        <v>162</v>
      </c>
      <c r="B38" s="81">
        <v>0</v>
      </c>
    </row>
    <row r="39" spans="1:2" ht="14.7" thickBot="1">
      <c r="A39" s="82" t="s">
        <v>163</v>
      </c>
      <c r="B39" s="81">
        <v>0</v>
      </c>
    </row>
    <row r="40" spans="1:2" ht="14.7" thickBot="1">
      <c r="A40" s="82" t="s">
        <v>100</v>
      </c>
      <c r="B40" s="81">
        <v>4</v>
      </c>
    </row>
    <row r="41" spans="1:2" ht="14.7" thickBot="1">
      <c r="A41" s="87" t="s">
        <v>101</v>
      </c>
      <c r="B41" s="81">
        <v>4</v>
      </c>
    </row>
    <row r="42" spans="1:2" ht="14.7" thickBot="1">
      <c r="A42" s="82" t="s">
        <v>102</v>
      </c>
      <c r="B42" s="81">
        <v>3</v>
      </c>
    </row>
    <row r="43" spans="1:2" ht="14.7" thickBot="1">
      <c r="A43" s="82" t="s">
        <v>164</v>
      </c>
      <c r="B43" s="81">
        <v>0</v>
      </c>
    </row>
    <row r="44" spans="1:2" ht="14.7" thickBot="1">
      <c r="A44" s="82" t="s">
        <v>103</v>
      </c>
      <c r="B44" s="81">
        <v>4</v>
      </c>
    </row>
    <row r="45" spans="1:2" ht="14.7" thickBot="1">
      <c r="A45" s="82" t="s">
        <v>129</v>
      </c>
      <c r="B45" s="81">
        <v>0</v>
      </c>
    </row>
    <row r="46" spans="1:2" ht="14.7" thickBot="1">
      <c r="A46" s="82" t="s">
        <v>113</v>
      </c>
      <c r="B46" s="81">
        <v>1</v>
      </c>
    </row>
    <row r="47" spans="1:2" ht="14.7" thickBot="1">
      <c r="A47" s="82" t="s">
        <v>145</v>
      </c>
      <c r="B47" s="81">
        <v>1</v>
      </c>
    </row>
    <row r="48" spans="1:2" ht="14.7" thickBot="1">
      <c r="A48" s="82" t="s">
        <v>146</v>
      </c>
      <c r="B48" s="81">
        <v>0</v>
      </c>
    </row>
    <row r="49" spans="1:2" ht="14.7" thickBot="1">
      <c r="A49" s="82" t="s">
        <v>104</v>
      </c>
      <c r="B49" s="81">
        <v>4</v>
      </c>
    </row>
    <row r="50" spans="1:2" ht="14.7" thickBot="1">
      <c r="A50" s="82" t="s">
        <v>114</v>
      </c>
      <c r="B50" s="81">
        <v>2</v>
      </c>
    </row>
    <row r="51" spans="1:2" ht="14.7" thickBot="1">
      <c r="A51" s="82" t="s">
        <v>147</v>
      </c>
      <c r="B51" s="81">
        <v>0</v>
      </c>
    </row>
    <row r="52" spans="1:2" ht="14.7" thickBot="1">
      <c r="A52" s="82" t="s">
        <v>115</v>
      </c>
      <c r="B52" s="81">
        <v>2</v>
      </c>
    </row>
    <row r="53" spans="1:2" ht="14.7" thickBot="1">
      <c r="A53" s="82" t="s">
        <v>165</v>
      </c>
      <c r="B53" s="81">
        <v>0</v>
      </c>
    </row>
    <row r="54" spans="1:2" ht="14.7" thickBot="1">
      <c r="A54" s="82" t="s">
        <v>116</v>
      </c>
      <c r="B54" s="81">
        <v>0</v>
      </c>
    </row>
    <row r="55" spans="1:2" ht="14.7" thickBot="1">
      <c r="A55" s="82" t="s">
        <v>105</v>
      </c>
      <c r="B55" s="81">
        <v>4</v>
      </c>
    </row>
    <row r="56" spans="1:2" ht="14.7" thickBot="1">
      <c r="A56" s="82" t="s">
        <v>130</v>
      </c>
      <c r="B56" s="81">
        <v>0</v>
      </c>
    </row>
    <row r="57" spans="1:2" ht="14.7" thickBot="1">
      <c r="A57" s="87" t="s">
        <v>131</v>
      </c>
      <c r="B57" s="81">
        <v>0</v>
      </c>
    </row>
    <row r="58" spans="1:2" ht="14.7" thickBot="1">
      <c r="A58" s="82" t="s">
        <v>148</v>
      </c>
      <c r="B58" s="81">
        <v>0</v>
      </c>
    </row>
    <row r="59" spans="1:2" ht="14.7" thickBot="1">
      <c r="A59" s="82" t="s">
        <v>132</v>
      </c>
      <c r="B59" s="81">
        <v>0</v>
      </c>
    </row>
    <row r="60" spans="1:2" ht="14.7" thickBot="1">
      <c r="A60" s="82" t="s">
        <v>166</v>
      </c>
      <c r="B60" s="81">
        <v>0</v>
      </c>
    </row>
    <row r="61" spans="1:2" ht="14.7" thickBot="1">
      <c r="A61" s="82" t="s">
        <v>149</v>
      </c>
      <c r="B61" s="81">
        <v>1</v>
      </c>
    </row>
    <row r="62" spans="1:2" ht="14.7" thickBot="1">
      <c r="A62" s="82" t="s">
        <v>117</v>
      </c>
      <c r="B62" s="81">
        <v>1</v>
      </c>
    </row>
    <row r="63" spans="1:2" ht="14.7" thickBot="1">
      <c r="A63" s="82" t="s">
        <v>167</v>
      </c>
      <c r="B63" s="81">
        <v>0</v>
      </c>
    </row>
    <row r="64" spans="1:2" ht="14.7" thickBot="1">
      <c r="A64" s="82" t="s">
        <v>150</v>
      </c>
      <c r="B64" s="81">
        <v>1</v>
      </c>
    </row>
    <row r="65" spans="1:2" ht="14.7" thickBot="1">
      <c r="A65" s="82" t="s">
        <v>118</v>
      </c>
      <c r="B65" s="81">
        <v>0</v>
      </c>
    </row>
    <row r="66" spans="1:2" ht="14.7" thickBot="1">
      <c r="A66" s="82" t="s">
        <v>168</v>
      </c>
      <c r="B66" s="81">
        <v>0</v>
      </c>
    </row>
    <row r="67" spans="1:2" ht="14.7" thickBot="1">
      <c r="A67" s="82" t="s">
        <v>133</v>
      </c>
      <c r="B67" s="81">
        <v>0</v>
      </c>
    </row>
    <row r="68" spans="1:2" ht="14.7" thickBot="1">
      <c r="A68" s="87" t="s">
        <v>169</v>
      </c>
      <c r="B68" s="81">
        <v>0</v>
      </c>
    </row>
    <row r="69" spans="1:2" ht="14.7" thickBot="1">
      <c r="A69" s="82" t="s">
        <v>119</v>
      </c>
      <c r="B69" s="81">
        <v>0</v>
      </c>
    </row>
    <row r="70" spans="1:2" ht="14.7" thickBot="1">
      <c r="A70" s="82" t="s">
        <v>120</v>
      </c>
      <c r="B70" s="81">
        <v>2</v>
      </c>
    </row>
    <row r="71" spans="1:2" ht="14.7" thickBot="1">
      <c r="A71" s="82" t="s">
        <v>106</v>
      </c>
      <c r="B71" s="81">
        <v>4</v>
      </c>
    </row>
    <row r="72" spans="1:2" ht="14.7" thickBot="1">
      <c r="A72" s="82" t="s">
        <v>107</v>
      </c>
      <c r="B72" s="81">
        <v>4</v>
      </c>
    </row>
    <row r="73" spans="1:2" ht="14.7" thickBot="1">
      <c r="A73" s="82" t="s">
        <v>170</v>
      </c>
      <c r="B73" s="81">
        <v>0</v>
      </c>
    </row>
    <row r="74" spans="1:2" ht="14.7" thickBot="1">
      <c r="A74" s="82" t="s">
        <v>171</v>
      </c>
      <c r="B74" s="81">
        <v>0</v>
      </c>
    </row>
    <row r="75" spans="1:2" ht="14.7" thickBot="1">
      <c r="A75" s="82" t="s">
        <v>172</v>
      </c>
      <c r="B75" s="81">
        <v>1</v>
      </c>
    </row>
    <row r="76" spans="1:2" ht="14.7" thickBot="1">
      <c r="A76" s="82" t="s">
        <v>173</v>
      </c>
      <c r="B76" s="81">
        <v>0</v>
      </c>
    </row>
    <row r="77" spans="1:2" ht="14.7" thickBot="1">
      <c r="A77" s="82" t="s">
        <v>121</v>
      </c>
      <c r="B77" s="81">
        <v>1</v>
      </c>
    </row>
    <row r="78" spans="1:2" ht="14.7" thickBot="1">
      <c r="A78" s="82" t="s">
        <v>122</v>
      </c>
      <c r="B78" s="81">
        <v>2</v>
      </c>
    </row>
    <row r="79" spans="1:2" ht="14.7" thickBot="1">
      <c r="A79" s="82" t="s">
        <v>123</v>
      </c>
      <c r="B79" s="81">
        <v>0</v>
      </c>
    </row>
    <row r="80" spans="1:2" ht="14.7" thickBot="1">
      <c r="A80" s="82" t="s">
        <v>124</v>
      </c>
      <c r="B80" s="81">
        <v>0</v>
      </c>
    </row>
    <row r="81" spans="1:2" ht="14.7" thickBot="1">
      <c r="A81" s="82" t="s">
        <v>174</v>
      </c>
      <c r="B81" s="81">
        <v>0</v>
      </c>
    </row>
    <row r="82" spans="1:2" ht="14.7" thickBot="1">
      <c r="A82" s="82" t="s">
        <v>151</v>
      </c>
      <c r="B82" s="81">
        <v>0</v>
      </c>
    </row>
    <row r="83" spans="1:2" ht="14.7" thickBot="1">
      <c r="A83" s="82" t="s">
        <v>175</v>
      </c>
      <c r="B83" s="81">
        <v>0</v>
      </c>
    </row>
    <row r="84" spans="1:2" ht="14.7" thickBot="1">
      <c r="A84" s="82" t="s">
        <v>152</v>
      </c>
      <c r="B84" s="81">
        <v>1</v>
      </c>
    </row>
    <row r="85" spans="1:2" ht="14.7" thickBot="1">
      <c r="A85" s="82" t="s">
        <v>134</v>
      </c>
      <c r="B85" s="81">
        <v>0</v>
      </c>
    </row>
    <row r="86" spans="1:2" ht="14.7" thickBot="1">
      <c r="A86" s="82" t="s">
        <v>153</v>
      </c>
      <c r="B86" s="81">
        <v>0</v>
      </c>
    </row>
    <row r="87" spans="1:2" ht="14.7" thickBot="1">
      <c r="A87" s="82" t="s">
        <v>108</v>
      </c>
      <c r="B87" s="81">
        <v>4</v>
      </c>
    </row>
    <row r="88" spans="1:2" ht="14.7" thickBot="1">
      <c r="A88" s="82" t="s">
        <v>109</v>
      </c>
      <c r="B88" s="81">
        <v>4</v>
      </c>
    </row>
    <row r="89" spans="1:2" ht="14.7" thickBot="1">
      <c r="A89" s="82" t="s">
        <v>154</v>
      </c>
      <c r="B89" s="81">
        <v>0</v>
      </c>
    </row>
    <row r="90" spans="1:2" ht="14.7" thickBot="1">
      <c r="A90" s="82" t="s">
        <v>155</v>
      </c>
      <c r="B90" s="81">
        <v>0</v>
      </c>
    </row>
    <row r="91" spans="1:2" ht="14.7" thickBot="1">
      <c r="A91" s="82" t="s">
        <v>156</v>
      </c>
      <c r="B91" s="81">
        <v>0</v>
      </c>
    </row>
    <row r="92" spans="1:2" ht="14.7" thickBot="1">
      <c r="A92" s="87" t="s">
        <v>135</v>
      </c>
      <c r="B92" s="81">
        <v>0</v>
      </c>
    </row>
    <row r="93" spans="1:2" ht="14.7" thickBot="1">
      <c r="A93" s="82" t="s">
        <v>176</v>
      </c>
      <c r="B93" s="81">
        <v>0</v>
      </c>
    </row>
    <row r="94" spans="1:2" ht="14.7" thickBot="1">
      <c r="A94" s="82" t="s">
        <v>125</v>
      </c>
      <c r="B94" s="81">
        <v>0</v>
      </c>
    </row>
    <row r="95" spans="1:2" ht="14.7" thickBot="1">
      <c r="A95" s="82" t="s">
        <v>157</v>
      </c>
      <c r="B95" s="81">
        <v>0</v>
      </c>
    </row>
    <row r="96" spans="1:2" ht="14.7" thickBot="1">
      <c r="A96" s="83" t="s">
        <v>158</v>
      </c>
      <c r="B96" s="85">
        <v>0</v>
      </c>
    </row>
    <row r="97" spans="1:2" ht="14.7" thickBot="1">
      <c r="A97" s="82" t="s">
        <v>136</v>
      </c>
      <c r="B97" s="81">
        <v>1</v>
      </c>
    </row>
    <row r="98" spans="1:2" ht="14.7" thickBot="1">
      <c r="A98" s="82" t="s">
        <v>177</v>
      </c>
      <c r="B98" s="81">
        <v>2</v>
      </c>
    </row>
    <row r="108" spans="1:2">
      <c r="A108" s="84"/>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T63"/>
  <sheetViews>
    <sheetView topLeftCell="A32" workbookViewId="0">
      <selection activeCell="I7" sqref="I7:M35"/>
    </sheetView>
  </sheetViews>
  <sheetFormatPr defaultRowHeight="14.4"/>
  <cols>
    <col min="1" max="1" width="41.20703125" bestFit="1" customWidth="1"/>
    <col min="2" max="2" width="14.20703125" bestFit="1" customWidth="1"/>
    <col min="3" max="6" width="9.89453125" bestFit="1" customWidth="1"/>
    <col min="7" max="7" width="9.89453125" customWidth="1"/>
    <col min="9" max="13" width="9.89453125" bestFit="1" customWidth="1"/>
    <col min="14" max="14" width="9.89453125" customWidth="1"/>
    <col min="15" max="16" width="9.89453125" bestFit="1" customWidth="1"/>
    <col min="17" max="17" width="13" customWidth="1"/>
    <col min="18" max="22" width="9.89453125" bestFit="1" customWidth="1"/>
  </cols>
  <sheetData>
    <row r="1" spans="1:20" ht="56.5" customHeight="1">
      <c r="A1" s="1" t="s">
        <v>191</v>
      </c>
      <c r="B1" s="1"/>
      <c r="C1" s="1"/>
      <c r="D1" s="1"/>
      <c r="E1" s="1"/>
      <c r="F1" s="1"/>
      <c r="G1" s="1"/>
      <c r="H1" s="1"/>
      <c r="I1" s="1"/>
      <c r="J1" s="1"/>
      <c r="K1" s="1"/>
      <c r="L1" s="1"/>
      <c r="M1" s="2"/>
      <c r="N1" s="2"/>
      <c r="O1" s="2"/>
      <c r="P1" s="2"/>
      <c r="Q1" s="4" t="s">
        <v>0</v>
      </c>
      <c r="R1" s="3"/>
      <c r="S1" s="3"/>
    </row>
    <row r="2" spans="1:20" ht="17.399999999999999">
      <c r="A2" s="275" t="s">
        <v>211</v>
      </c>
      <c r="B2" s="275"/>
      <c r="C2" s="275"/>
      <c r="D2" s="1"/>
      <c r="E2" s="1"/>
      <c r="F2" s="1"/>
      <c r="G2" s="1"/>
      <c r="H2" s="1"/>
      <c r="I2" s="1"/>
      <c r="J2" s="1"/>
      <c r="K2" s="1"/>
      <c r="L2" s="1"/>
      <c r="M2" s="2"/>
      <c r="N2" s="2"/>
      <c r="O2" s="2"/>
      <c r="P2" s="2"/>
      <c r="Q2" s="4"/>
      <c r="R2" s="3"/>
      <c r="S2" s="3"/>
    </row>
    <row r="3" spans="1:20" ht="15.3">
      <c r="A3" s="2" t="s">
        <v>1</v>
      </c>
      <c r="B3" s="2"/>
      <c r="C3" s="3"/>
      <c r="D3" s="2"/>
      <c r="E3" s="2"/>
      <c r="F3" s="2"/>
      <c r="G3" s="2"/>
      <c r="H3" s="2"/>
      <c r="I3" s="2"/>
      <c r="J3" s="2"/>
      <c r="K3" s="2"/>
      <c r="L3" s="2"/>
      <c r="M3" s="2"/>
      <c r="N3" s="2"/>
      <c r="O3" s="2"/>
      <c r="P3" s="2"/>
      <c r="Q3" s="2"/>
      <c r="R3" s="3"/>
      <c r="S3" s="3"/>
    </row>
    <row r="4" spans="1:20" ht="15.3">
      <c r="A4" s="5" t="s">
        <v>2</v>
      </c>
      <c r="B4" s="277" t="s">
        <v>3</v>
      </c>
      <c r="C4" s="277"/>
      <c r="D4" s="277"/>
      <c r="E4" s="277"/>
      <c r="F4" s="277"/>
      <c r="G4" s="88"/>
      <c r="H4" s="5" t="s">
        <v>2</v>
      </c>
      <c r="I4" s="272" t="s">
        <v>4</v>
      </c>
      <c r="J4" s="273"/>
      <c r="K4" s="273"/>
      <c r="L4" s="273"/>
      <c r="M4" s="276"/>
      <c r="N4" s="104"/>
      <c r="O4" s="5" t="s">
        <v>2</v>
      </c>
      <c r="P4" s="272" t="s">
        <v>5</v>
      </c>
      <c r="Q4" s="273"/>
      <c r="R4" s="273"/>
      <c r="S4" s="273"/>
      <c r="T4" s="274"/>
    </row>
    <row r="5" spans="1:20" ht="15.3">
      <c r="A5" s="6" t="s">
        <v>6</v>
      </c>
      <c r="B5" s="277" t="s">
        <v>7</v>
      </c>
      <c r="C5" s="277"/>
      <c r="D5" s="277"/>
      <c r="E5" s="277"/>
      <c r="F5" s="277"/>
      <c r="G5" s="88"/>
      <c r="H5" s="6" t="s">
        <v>6</v>
      </c>
      <c r="I5" s="272" t="s">
        <v>7</v>
      </c>
      <c r="J5" s="273"/>
      <c r="K5" s="273"/>
      <c r="L5" s="273"/>
      <c r="M5" s="276"/>
      <c r="N5" s="104"/>
      <c r="O5" s="6" t="s">
        <v>6</v>
      </c>
      <c r="P5" s="272" t="s">
        <v>7</v>
      </c>
      <c r="Q5" s="273"/>
      <c r="R5" s="273"/>
      <c r="S5" s="273"/>
      <c r="T5" s="274"/>
    </row>
    <row r="6" spans="1:20" ht="15.3">
      <c r="A6" s="7"/>
      <c r="B6" s="95">
        <v>0</v>
      </c>
      <c r="C6" s="96">
        <v>1</v>
      </c>
      <c r="D6" s="96">
        <v>2</v>
      </c>
      <c r="E6" s="96">
        <v>3</v>
      </c>
      <c r="F6" s="96">
        <v>4</v>
      </c>
      <c r="G6" s="103"/>
      <c r="H6" s="97"/>
      <c r="I6" s="96">
        <v>0</v>
      </c>
      <c r="J6" s="96">
        <v>1</v>
      </c>
      <c r="K6" s="96">
        <v>2</v>
      </c>
      <c r="L6" s="96">
        <v>3</v>
      </c>
      <c r="M6" s="96">
        <v>4</v>
      </c>
      <c r="N6" s="103"/>
      <c r="O6" s="97"/>
      <c r="P6" s="95">
        <v>0</v>
      </c>
      <c r="Q6" s="96">
        <v>1</v>
      </c>
      <c r="R6" s="96">
        <v>2</v>
      </c>
      <c r="S6" s="96">
        <v>3</v>
      </c>
      <c r="T6" s="96">
        <v>4</v>
      </c>
    </row>
    <row r="7" spans="1:20" ht="15.3">
      <c r="A7" s="9">
        <v>28</v>
      </c>
      <c r="B7" s="152">
        <v>340713</v>
      </c>
      <c r="C7" s="153">
        <v>344898</v>
      </c>
      <c r="D7" s="153">
        <v>347794</v>
      </c>
      <c r="E7" s="153">
        <v>351979</v>
      </c>
      <c r="F7" s="154">
        <v>354873</v>
      </c>
      <c r="G7" s="98"/>
      <c r="H7" s="99">
        <v>28</v>
      </c>
      <c r="I7" s="165">
        <v>28392.75</v>
      </c>
      <c r="J7" s="166">
        <v>28741.5</v>
      </c>
      <c r="K7" s="166">
        <v>28982.833333333332</v>
      </c>
      <c r="L7" s="166">
        <v>29331.583333333332</v>
      </c>
      <c r="M7" s="166">
        <v>29572.75</v>
      </c>
      <c r="N7" s="100"/>
      <c r="O7" s="99">
        <v>28</v>
      </c>
      <c r="P7" s="158">
        <v>340713</v>
      </c>
      <c r="Q7" s="159">
        <v>344898</v>
      </c>
      <c r="R7" s="159">
        <v>347794</v>
      </c>
      <c r="S7" s="159">
        <v>351979</v>
      </c>
      <c r="T7" s="160">
        <v>354873</v>
      </c>
    </row>
    <row r="8" spans="1:20" ht="15.3">
      <c r="A8" s="9">
        <v>29</v>
      </c>
      <c r="B8" s="152">
        <v>346394</v>
      </c>
      <c r="C8" s="153">
        <v>350381</v>
      </c>
      <c r="D8" s="153">
        <v>353139</v>
      </c>
      <c r="E8" s="153">
        <v>357125</v>
      </c>
      <c r="F8" s="154">
        <v>359885</v>
      </c>
      <c r="G8" s="98"/>
      <c r="H8" s="99">
        <v>29</v>
      </c>
      <c r="I8" s="165">
        <v>28866.166666666668</v>
      </c>
      <c r="J8" s="166">
        <v>29198.416666666668</v>
      </c>
      <c r="K8" s="166">
        <v>29428.25</v>
      </c>
      <c r="L8" s="166">
        <v>29760.416666666668</v>
      </c>
      <c r="M8" s="166">
        <v>29990.416666666668</v>
      </c>
      <c r="N8" s="100"/>
      <c r="O8" s="99">
        <v>29</v>
      </c>
      <c r="P8" s="158">
        <v>346394</v>
      </c>
      <c r="Q8" s="159">
        <v>350381</v>
      </c>
      <c r="R8" s="159">
        <v>353139</v>
      </c>
      <c r="S8" s="159">
        <v>357125</v>
      </c>
      <c r="T8" s="160">
        <v>359885</v>
      </c>
    </row>
    <row r="9" spans="1:20" ht="15.3">
      <c r="A9" s="10">
        <v>30</v>
      </c>
      <c r="B9" s="155">
        <v>352199</v>
      </c>
      <c r="C9" s="156">
        <v>355973</v>
      </c>
      <c r="D9" s="156">
        <v>358588</v>
      </c>
      <c r="E9" s="156">
        <v>362360</v>
      </c>
      <c r="F9" s="157">
        <v>364974</v>
      </c>
      <c r="G9" s="98"/>
      <c r="H9" s="99">
        <v>30</v>
      </c>
      <c r="I9" s="167">
        <v>29349.916666666668</v>
      </c>
      <c r="J9" s="168">
        <v>29664.416666666668</v>
      </c>
      <c r="K9" s="168">
        <v>29882.333333333332</v>
      </c>
      <c r="L9" s="168">
        <v>30196.666666666668</v>
      </c>
      <c r="M9" s="168">
        <v>30414.5</v>
      </c>
      <c r="N9" s="100"/>
      <c r="O9" s="99">
        <v>30</v>
      </c>
      <c r="P9" s="161">
        <v>352199</v>
      </c>
      <c r="Q9" s="162">
        <v>355973</v>
      </c>
      <c r="R9" s="162">
        <v>358588</v>
      </c>
      <c r="S9" s="162">
        <v>362360</v>
      </c>
      <c r="T9" s="163">
        <v>364974</v>
      </c>
    </row>
    <row r="10" spans="1:20" ht="15.3">
      <c r="A10" s="9">
        <v>31</v>
      </c>
      <c r="B10" s="152">
        <v>358135</v>
      </c>
      <c r="C10" s="153">
        <v>361686</v>
      </c>
      <c r="D10" s="153">
        <v>364143</v>
      </c>
      <c r="E10" s="153">
        <v>367694</v>
      </c>
      <c r="F10" s="154">
        <v>370151</v>
      </c>
      <c r="G10" s="98"/>
      <c r="H10" s="99">
        <v>31</v>
      </c>
      <c r="I10" s="165">
        <v>29844.583333333332</v>
      </c>
      <c r="J10" s="166">
        <v>30140.5</v>
      </c>
      <c r="K10" s="166">
        <v>30345.25</v>
      </c>
      <c r="L10" s="166">
        <v>30641.166666666668</v>
      </c>
      <c r="M10" s="166">
        <v>30845.916666666668</v>
      </c>
      <c r="N10" s="100"/>
      <c r="O10" s="99">
        <v>31</v>
      </c>
      <c r="P10" s="158">
        <v>358135</v>
      </c>
      <c r="Q10" s="159">
        <v>361686</v>
      </c>
      <c r="R10" s="159">
        <v>364143</v>
      </c>
      <c r="S10" s="159">
        <v>367694</v>
      </c>
      <c r="T10" s="160">
        <v>370151</v>
      </c>
    </row>
    <row r="11" spans="1:20" ht="15.3">
      <c r="A11" s="9">
        <v>32</v>
      </c>
      <c r="B11" s="152">
        <v>364203</v>
      </c>
      <c r="C11" s="153">
        <v>367514</v>
      </c>
      <c r="D11" s="153">
        <v>369805</v>
      </c>
      <c r="E11" s="153">
        <v>373118</v>
      </c>
      <c r="F11" s="154">
        <v>375410</v>
      </c>
      <c r="G11" s="98"/>
      <c r="H11" s="99">
        <v>32</v>
      </c>
      <c r="I11" s="165">
        <v>30350.25</v>
      </c>
      <c r="J11" s="166">
        <v>30626.166666666668</v>
      </c>
      <c r="K11" s="166">
        <v>30817.083333333332</v>
      </c>
      <c r="L11" s="166">
        <v>31093.166666666668</v>
      </c>
      <c r="M11" s="166">
        <v>31284.166666666668</v>
      </c>
      <c r="N11" s="100"/>
      <c r="O11" s="99">
        <v>32</v>
      </c>
      <c r="P11" s="158">
        <v>364203</v>
      </c>
      <c r="Q11" s="159">
        <v>367514</v>
      </c>
      <c r="R11" s="159">
        <v>369805</v>
      </c>
      <c r="S11" s="159">
        <v>373118</v>
      </c>
      <c r="T11" s="160">
        <v>375410</v>
      </c>
    </row>
    <row r="12" spans="1:20" ht="15.3">
      <c r="A12" s="9">
        <v>33</v>
      </c>
      <c r="B12" s="152">
        <v>370403</v>
      </c>
      <c r="C12" s="153">
        <v>373461</v>
      </c>
      <c r="D12" s="153">
        <v>375578</v>
      </c>
      <c r="E12" s="153">
        <v>378636</v>
      </c>
      <c r="F12" s="154">
        <v>380752</v>
      </c>
      <c r="G12" s="98"/>
      <c r="H12" s="99">
        <v>33</v>
      </c>
      <c r="I12" s="165">
        <v>30866.916666666668</v>
      </c>
      <c r="J12" s="166">
        <v>31121.75</v>
      </c>
      <c r="K12" s="166">
        <v>31298.166666666668</v>
      </c>
      <c r="L12" s="166">
        <v>31553</v>
      </c>
      <c r="M12" s="166">
        <v>31729.333333333332</v>
      </c>
      <c r="N12" s="100"/>
      <c r="O12" s="99">
        <v>33</v>
      </c>
      <c r="P12" s="158">
        <v>370403</v>
      </c>
      <c r="Q12" s="159">
        <v>373461</v>
      </c>
      <c r="R12" s="159">
        <v>375578</v>
      </c>
      <c r="S12" s="159">
        <v>378636</v>
      </c>
      <c r="T12" s="160">
        <v>380752</v>
      </c>
    </row>
    <row r="13" spans="1:20" ht="15.3">
      <c r="A13" s="9">
        <v>34</v>
      </c>
      <c r="B13" s="152">
        <v>376747</v>
      </c>
      <c r="C13" s="153">
        <v>379537</v>
      </c>
      <c r="D13" s="153">
        <v>381467</v>
      </c>
      <c r="E13" s="153">
        <v>384256</v>
      </c>
      <c r="F13" s="154">
        <v>386188</v>
      </c>
      <c r="G13" s="98"/>
      <c r="H13" s="99">
        <v>34</v>
      </c>
      <c r="I13" s="165">
        <v>31395.583333333332</v>
      </c>
      <c r="J13" s="166">
        <v>31628.083333333332</v>
      </c>
      <c r="K13" s="166">
        <v>31788.916666666668</v>
      </c>
      <c r="L13" s="166">
        <v>32021.333333333332</v>
      </c>
      <c r="M13" s="166">
        <v>32182.333333333332</v>
      </c>
      <c r="N13" s="100"/>
      <c r="O13" s="99">
        <v>34</v>
      </c>
      <c r="P13" s="158">
        <v>376747</v>
      </c>
      <c r="Q13" s="159">
        <v>379537</v>
      </c>
      <c r="R13" s="159">
        <v>381467</v>
      </c>
      <c r="S13" s="159">
        <v>384256</v>
      </c>
      <c r="T13" s="160">
        <v>386188</v>
      </c>
    </row>
    <row r="14" spans="1:20" ht="15.3">
      <c r="A14" s="10">
        <v>35</v>
      </c>
      <c r="B14" s="155">
        <v>383224</v>
      </c>
      <c r="C14" s="156">
        <v>385729</v>
      </c>
      <c r="D14" s="156">
        <v>387463</v>
      </c>
      <c r="E14" s="156">
        <v>389966</v>
      </c>
      <c r="F14" s="157">
        <v>391701</v>
      </c>
      <c r="G14" s="98"/>
      <c r="H14" s="99">
        <v>35</v>
      </c>
      <c r="I14" s="167">
        <v>31935.333333333332</v>
      </c>
      <c r="J14" s="168">
        <v>32144.083333333332</v>
      </c>
      <c r="K14" s="168">
        <v>32288.583333333332</v>
      </c>
      <c r="L14" s="168">
        <v>32497.166666666668</v>
      </c>
      <c r="M14" s="168">
        <v>32641.75</v>
      </c>
      <c r="N14" s="100"/>
      <c r="O14" s="99">
        <v>35</v>
      </c>
      <c r="P14" s="161">
        <v>383224</v>
      </c>
      <c r="Q14" s="162">
        <v>385729</v>
      </c>
      <c r="R14" s="162">
        <v>387463</v>
      </c>
      <c r="S14" s="162">
        <v>389966</v>
      </c>
      <c r="T14" s="163">
        <v>391701</v>
      </c>
    </row>
    <row r="15" spans="1:20" ht="15.3">
      <c r="A15" s="9">
        <v>36</v>
      </c>
      <c r="B15" s="152">
        <v>389850</v>
      </c>
      <c r="C15" s="153">
        <v>392054</v>
      </c>
      <c r="D15" s="153">
        <v>393578</v>
      </c>
      <c r="E15" s="153">
        <v>395780</v>
      </c>
      <c r="F15" s="154">
        <v>397306</v>
      </c>
      <c r="G15" s="98"/>
      <c r="H15" s="99">
        <v>36</v>
      </c>
      <c r="I15" s="165">
        <v>32487.5</v>
      </c>
      <c r="J15" s="166">
        <v>32671.166666666668</v>
      </c>
      <c r="K15" s="166">
        <v>32798.166666666664</v>
      </c>
      <c r="L15" s="166">
        <v>32981.666666666664</v>
      </c>
      <c r="M15" s="166">
        <v>33108.833333333336</v>
      </c>
      <c r="N15" s="100"/>
      <c r="O15" s="99">
        <v>36</v>
      </c>
      <c r="P15" s="158">
        <v>389850</v>
      </c>
      <c r="Q15" s="159">
        <v>392054</v>
      </c>
      <c r="R15" s="159">
        <v>393578</v>
      </c>
      <c r="S15" s="159">
        <v>395780</v>
      </c>
      <c r="T15" s="160">
        <v>397306</v>
      </c>
    </row>
    <row r="16" spans="1:20" ht="15.3">
      <c r="A16" s="9">
        <v>37</v>
      </c>
      <c r="B16" s="152">
        <v>396619</v>
      </c>
      <c r="C16" s="153">
        <v>398502</v>
      </c>
      <c r="D16" s="153">
        <v>399807</v>
      </c>
      <c r="E16" s="153">
        <v>401691</v>
      </c>
      <c r="F16" s="154">
        <v>402994</v>
      </c>
      <c r="G16" s="98"/>
      <c r="H16" s="99">
        <v>37</v>
      </c>
      <c r="I16" s="165">
        <v>33051.583333333336</v>
      </c>
      <c r="J16" s="166">
        <v>33208.5</v>
      </c>
      <c r="K16" s="166">
        <v>33317.25</v>
      </c>
      <c r="L16" s="166">
        <v>33474.25</v>
      </c>
      <c r="M16" s="166">
        <v>33582.833333333336</v>
      </c>
      <c r="N16" s="100"/>
      <c r="O16" s="99">
        <v>37</v>
      </c>
      <c r="P16" s="158">
        <v>396619</v>
      </c>
      <c r="Q16" s="159">
        <v>398502</v>
      </c>
      <c r="R16" s="159">
        <v>399807</v>
      </c>
      <c r="S16" s="159">
        <v>401691</v>
      </c>
      <c r="T16" s="160">
        <v>402994</v>
      </c>
    </row>
    <row r="17" spans="1:20" ht="15.3">
      <c r="A17" s="9">
        <v>38</v>
      </c>
      <c r="B17" s="152">
        <v>403805</v>
      </c>
      <c r="C17" s="153">
        <v>405381</v>
      </c>
      <c r="D17" s="153">
        <v>406473</v>
      </c>
      <c r="E17" s="153">
        <v>408050</v>
      </c>
      <c r="F17" s="154">
        <v>409143</v>
      </c>
      <c r="G17" s="98"/>
      <c r="H17" s="99">
        <v>38</v>
      </c>
      <c r="I17" s="165">
        <v>33650.416666666664</v>
      </c>
      <c r="J17" s="166">
        <v>33781.75</v>
      </c>
      <c r="K17" s="166">
        <v>33872.75</v>
      </c>
      <c r="L17" s="166">
        <v>34004.166666666664</v>
      </c>
      <c r="M17" s="166">
        <v>34095.25</v>
      </c>
      <c r="N17" s="100"/>
      <c r="O17" s="99">
        <v>38</v>
      </c>
      <c r="P17" s="158">
        <v>403805</v>
      </c>
      <c r="Q17" s="159">
        <v>405381</v>
      </c>
      <c r="R17" s="159">
        <v>406473</v>
      </c>
      <c r="S17" s="159">
        <v>408050</v>
      </c>
      <c r="T17" s="160">
        <v>409143</v>
      </c>
    </row>
    <row r="18" spans="1:20" ht="15.3">
      <c r="A18" s="9">
        <v>39</v>
      </c>
      <c r="B18" s="152">
        <v>411019</v>
      </c>
      <c r="C18" s="153">
        <v>412233</v>
      </c>
      <c r="D18" s="153">
        <v>413073</v>
      </c>
      <c r="E18" s="153">
        <v>414287</v>
      </c>
      <c r="F18" s="154">
        <v>415129</v>
      </c>
      <c r="G18" s="98"/>
      <c r="H18" s="99">
        <v>39</v>
      </c>
      <c r="I18" s="165">
        <v>34251.583333333336</v>
      </c>
      <c r="J18" s="166">
        <v>34352.75</v>
      </c>
      <c r="K18" s="166">
        <v>34422.75</v>
      </c>
      <c r="L18" s="166">
        <v>34523.916666666664</v>
      </c>
      <c r="M18" s="166">
        <v>34594.083333333336</v>
      </c>
      <c r="N18" s="100"/>
      <c r="O18" s="99">
        <v>39</v>
      </c>
      <c r="P18" s="158">
        <v>411019</v>
      </c>
      <c r="Q18" s="159">
        <v>412233</v>
      </c>
      <c r="R18" s="159">
        <v>413073</v>
      </c>
      <c r="S18" s="159">
        <v>414287</v>
      </c>
      <c r="T18" s="160">
        <v>415129</v>
      </c>
    </row>
    <row r="19" spans="1:20" ht="15.3">
      <c r="A19" s="10">
        <v>40</v>
      </c>
      <c r="B19" s="155">
        <v>418397</v>
      </c>
      <c r="C19" s="156">
        <v>419227</v>
      </c>
      <c r="D19" s="156">
        <v>419802</v>
      </c>
      <c r="E19" s="156">
        <v>420634</v>
      </c>
      <c r="F19" s="157">
        <v>421209</v>
      </c>
      <c r="G19" s="98"/>
      <c r="H19" s="99">
        <v>40</v>
      </c>
      <c r="I19" s="167">
        <v>34866.416666666664</v>
      </c>
      <c r="J19" s="168">
        <v>34935.583333333336</v>
      </c>
      <c r="K19" s="168">
        <v>34983.5</v>
      </c>
      <c r="L19" s="168">
        <v>35052.833333333336</v>
      </c>
      <c r="M19" s="168">
        <v>35100.75</v>
      </c>
      <c r="N19" s="100"/>
      <c r="O19" s="99">
        <v>40</v>
      </c>
      <c r="P19" s="161">
        <v>418397</v>
      </c>
      <c r="Q19" s="162">
        <v>419227</v>
      </c>
      <c r="R19" s="162">
        <v>419802</v>
      </c>
      <c r="S19" s="162">
        <v>420634</v>
      </c>
      <c r="T19" s="163">
        <v>421209</v>
      </c>
    </row>
    <row r="20" spans="1:20" ht="15.3">
      <c r="A20" s="9">
        <v>41</v>
      </c>
      <c r="B20" s="152">
        <v>425935</v>
      </c>
      <c r="C20" s="153">
        <v>426361</v>
      </c>
      <c r="D20" s="153">
        <v>426657</v>
      </c>
      <c r="E20" s="153">
        <v>427081</v>
      </c>
      <c r="F20" s="154">
        <v>427378</v>
      </c>
      <c r="G20" s="98"/>
      <c r="H20" s="99">
        <v>41</v>
      </c>
      <c r="I20" s="165">
        <v>35494.583333333336</v>
      </c>
      <c r="J20" s="166">
        <v>35530.083333333336</v>
      </c>
      <c r="K20" s="166">
        <v>35554.75</v>
      </c>
      <c r="L20" s="166">
        <v>35590.083333333336</v>
      </c>
      <c r="M20" s="166">
        <v>35614.833333333336</v>
      </c>
      <c r="N20" s="100"/>
      <c r="O20" s="99">
        <v>41</v>
      </c>
      <c r="P20" s="158">
        <v>425935</v>
      </c>
      <c r="Q20" s="159">
        <v>426361</v>
      </c>
      <c r="R20" s="159">
        <v>426657</v>
      </c>
      <c r="S20" s="159">
        <v>427081</v>
      </c>
      <c r="T20" s="160">
        <v>427378</v>
      </c>
    </row>
    <row r="21" spans="1:20" ht="15.3">
      <c r="A21" s="9">
        <v>42</v>
      </c>
      <c r="B21" s="152">
        <v>433636</v>
      </c>
      <c r="C21" s="153">
        <v>433636</v>
      </c>
      <c r="D21" s="153">
        <v>433636</v>
      </c>
      <c r="E21" s="153">
        <v>433636</v>
      </c>
      <c r="F21" s="154">
        <v>433636</v>
      </c>
      <c r="G21" s="98"/>
      <c r="H21" s="99">
        <v>42</v>
      </c>
      <c r="I21" s="165">
        <v>36136.333333333336</v>
      </c>
      <c r="J21" s="166">
        <v>36136.333333333336</v>
      </c>
      <c r="K21" s="166">
        <v>36136.333333333336</v>
      </c>
      <c r="L21" s="166">
        <v>36136.333333333336</v>
      </c>
      <c r="M21" s="166">
        <v>36136.333333333336</v>
      </c>
      <c r="N21" s="100"/>
      <c r="O21" s="99">
        <v>42</v>
      </c>
      <c r="P21" s="158">
        <v>433636</v>
      </c>
      <c r="Q21" s="159">
        <v>433636</v>
      </c>
      <c r="R21" s="159">
        <v>433636</v>
      </c>
      <c r="S21" s="159">
        <v>433636</v>
      </c>
      <c r="T21" s="160">
        <v>433636</v>
      </c>
    </row>
    <row r="22" spans="1:20" ht="15.3">
      <c r="A22" s="9">
        <v>43</v>
      </c>
      <c r="B22" s="152">
        <v>443273</v>
      </c>
      <c r="C22" s="153">
        <v>443273</v>
      </c>
      <c r="D22" s="153">
        <v>443273</v>
      </c>
      <c r="E22" s="153">
        <v>443273</v>
      </c>
      <c r="F22" s="154">
        <v>443273</v>
      </c>
      <c r="G22" s="98"/>
      <c r="H22" s="99">
        <v>43</v>
      </c>
      <c r="I22" s="165">
        <v>36939.416666666664</v>
      </c>
      <c r="J22" s="166">
        <v>36939.416666666664</v>
      </c>
      <c r="K22" s="166">
        <v>36939.416666666664</v>
      </c>
      <c r="L22" s="166">
        <v>36939.416666666664</v>
      </c>
      <c r="M22" s="166">
        <v>36939.416666666664</v>
      </c>
      <c r="N22" s="100"/>
      <c r="O22" s="99">
        <v>43</v>
      </c>
      <c r="P22" s="158">
        <v>443273</v>
      </c>
      <c r="Q22" s="159">
        <v>443273</v>
      </c>
      <c r="R22" s="159">
        <v>443273</v>
      </c>
      <c r="S22" s="159">
        <v>443273</v>
      </c>
      <c r="T22" s="160">
        <v>443273</v>
      </c>
    </row>
    <row r="23" spans="1:20" ht="15.3">
      <c r="A23" s="9">
        <v>44</v>
      </c>
      <c r="B23" s="152">
        <v>453177</v>
      </c>
      <c r="C23" s="153">
        <v>453177</v>
      </c>
      <c r="D23" s="153">
        <v>453177</v>
      </c>
      <c r="E23" s="153">
        <v>453177</v>
      </c>
      <c r="F23" s="154">
        <v>453177</v>
      </c>
      <c r="G23" s="98"/>
      <c r="H23" s="99">
        <v>44</v>
      </c>
      <c r="I23" s="165">
        <v>37764.75</v>
      </c>
      <c r="J23" s="166">
        <v>37764.75</v>
      </c>
      <c r="K23" s="166">
        <v>37764.75</v>
      </c>
      <c r="L23" s="166">
        <v>37764.75</v>
      </c>
      <c r="M23" s="166">
        <v>37764.75</v>
      </c>
      <c r="N23" s="100"/>
      <c r="O23" s="99">
        <v>44</v>
      </c>
      <c r="P23" s="158">
        <v>453177</v>
      </c>
      <c r="Q23" s="159">
        <v>453177</v>
      </c>
      <c r="R23" s="159">
        <v>453177</v>
      </c>
      <c r="S23" s="159">
        <v>453177</v>
      </c>
      <c r="T23" s="160">
        <v>453177</v>
      </c>
    </row>
    <row r="24" spans="1:20" ht="15.3">
      <c r="A24" s="10">
        <v>45</v>
      </c>
      <c r="B24" s="155">
        <v>463352</v>
      </c>
      <c r="C24" s="156">
        <v>463352</v>
      </c>
      <c r="D24" s="156">
        <v>463352</v>
      </c>
      <c r="E24" s="156">
        <v>463352</v>
      </c>
      <c r="F24" s="157">
        <v>463352</v>
      </c>
      <c r="G24" s="98"/>
      <c r="H24" s="99">
        <v>45</v>
      </c>
      <c r="I24" s="167">
        <v>38612.666666666664</v>
      </c>
      <c r="J24" s="168">
        <v>38612.666666666664</v>
      </c>
      <c r="K24" s="168">
        <v>38612.666666666664</v>
      </c>
      <c r="L24" s="168">
        <v>38612.666666666664</v>
      </c>
      <c r="M24" s="168">
        <v>38612.666666666664</v>
      </c>
      <c r="N24" s="100"/>
      <c r="O24" s="99">
        <v>45</v>
      </c>
      <c r="P24" s="161">
        <v>463352</v>
      </c>
      <c r="Q24" s="162">
        <v>463352</v>
      </c>
      <c r="R24" s="162">
        <v>463352</v>
      </c>
      <c r="S24" s="162">
        <v>463352</v>
      </c>
      <c r="T24" s="163">
        <v>463352</v>
      </c>
    </row>
    <row r="25" spans="1:20" ht="15.3">
      <c r="A25" s="9">
        <v>46</v>
      </c>
      <c r="B25" s="152">
        <v>473807</v>
      </c>
      <c r="C25" s="153">
        <v>473807</v>
      </c>
      <c r="D25" s="153">
        <v>473807</v>
      </c>
      <c r="E25" s="153">
        <v>473807</v>
      </c>
      <c r="F25" s="154">
        <v>473807</v>
      </c>
      <c r="G25" s="98"/>
      <c r="H25" s="99">
        <v>46</v>
      </c>
      <c r="I25" s="165">
        <v>39483.916666666664</v>
      </c>
      <c r="J25" s="166">
        <v>39483.916666666664</v>
      </c>
      <c r="K25" s="166">
        <v>39483.916666666664</v>
      </c>
      <c r="L25" s="166">
        <v>39483.916666666664</v>
      </c>
      <c r="M25" s="166">
        <v>39483.916666666664</v>
      </c>
      <c r="N25" s="100"/>
      <c r="O25" s="99">
        <v>46</v>
      </c>
      <c r="P25" s="158">
        <v>473807</v>
      </c>
      <c r="Q25" s="159">
        <v>473807</v>
      </c>
      <c r="R25" s="159">
        <v>473807</v>
      </c>
      <c r="S25" s="159">
        <v>473807</v>
      </c>
      <c r="T25" s="160">
        <v>473807</v>
      </c>
    </row>
    <row r="26" spans="1:20" ht="15.3">
      <c r="A26" s="9">
        <v>47</v>
      </c>
      <c r="B26" s="152">
        <v>482241</v>
      </c>
      <c r="C26" s="153">
        <v>482241</v>
      </c>
      <c r="D26" s="153">
        <v>482241</v>
      </c>
      <c r="E26" s="153">
        <v>482241</v>
      </c>
      <c r="F26" s="154">
        <v>482241</v>
      </c>
      <c r="G26" s="98"/>
      <c r="H26" s="99">
        <v>47</v>
      </c>
      <c r="I26" s="165">
        <v>40186.75</v>
      </c>
      <c r="J26" s="166">
        <v>40186.75</v>
      </c>
      <c r="K26" s="166">
        <v>40186.75</v>
      </c>
      <c r="L26" s="166">
        <v>40186.75</v>
      </c>
      <c r="M26" s="166">
        <v>40186.75</v>
      </c>
      <c r="N26" s="100"/>
      <c r="O26" s="99">
        <v>47</v>
      </c>
      <c r="P26" s="158">
        <v>482241</v>
      </c>
      <c r="Q26" s="159">
        <v>482241</v>
      </c>
      <c r="R26" s="159">
        <v>482241</v>
      </c>
      <c r="S26" s="159">
        <v>482241</v>
      </c>
      <c r="T26" s="160">
        <v>482241</v>
      </c>
    </row>
    <row r="27" spans="1:20" ht="15.3">
      <c r="A27" s="9">
        <v>48</v>
      </c>
      <c r="B27" s="152">
        <v>504409</v>
      </c>
      <c r="C27" s="153">
        <v>504409</v>
      </c>
      <c r="D27" s="153">
        <v>504409</v>
      </c>
      <c r="E27" s="153">
        <v>504409</v>
      </c>
      <c r="F27" s="154">
        <v>504409</v>
      </c>
      <c r="G27" s="98"/>
      <c r="H27" s="99">
        <v>48</v>
      </c>
      <c r="I27" s="165">
        <v>42034.083333333336</v>
      </c>
      <c r="J27" s="166">
        <v>42034.083333333336</v>
      </c>
      <c r="K27" s="166">
        <v>42034.083333333336</v>
      </c>
      <c r="L27" s="166">
        <v>42034.083333333336</v>
      </c>
      <c r="M27" s="166">
        <v>42034.083333333336</v>
      </c>
      <c r="N27" s="100"/>
      <c r="O27" s="99">
        <v>48</v>
      </c>
      <c r="P27" s="158">
        <v>504409</v>
      </c>
      <c r="Q27" s="159">
        <v>504409</v>
      </c>
      <c r="R27" s="159">
        <v>504409</v>
      </c>
      <c r="S27" s="159">
        <v>504409</v>
      </c>
      <c r="T27" s="160">
        <v>504409</v>
      </c>
    </row>
    <row r="28" spans="1:20" ht="15.3">
      <c r="A28" s="9">
        <v>49</v>
      </c>
      <c r="B28" s="152">
        <v>538260</v>
      </c>
      <c r="C28" s="153">
        <v>538260</v>
      </c>
      <c r="D28" s="153">
        <v>538260</v>
      </c>
      <c r="E28" s="153">
        <v>538260</v>
      </c>
      <c r="F28" s="154">
        <v>538260</v>
      </c>
      <c r="G28" s="98"/>
      <c r="H28" s="99">
        <v>49</v>
      </c>
      <c r="I28" s="165">
        <v>44855</v>
      </c>
      <c r="J28" s="166">
        <v>44855</v>
      </c>
      <c r="K28" s="166">
        <v>44855</v>
      </c>
      <c r="L28" s="166">
        <v>44855</v>
      </c>
      <c r="M28" s="166">
        <v>44855</v>
      </c>
      <c r="N28" s="100"/>
      <c r="O28" s="99">
        <v>49</v>
      </c>
      <c r="P28" s="158">
        <v>538260</v>
      </c>
      <c r="Q28" s="159">
        <v>538260</v>
      </c>
      <c r="R28" s="159">
        <v>538260</v>
      </c>
      <c r="S28" s="159">
        <v>538260</v>
      </c>
      <c r="T28" s="160">
        <v>538260</v>
      </c>
    </row>
    <row r="29" spans="1:20" ht="15.3">
      <c r="A29" s="10">
        <v>50</v>
      </c>
      <c r="B29" s="155">
        <v>575834</v>
      </c>
      <c r="C29" s="156">
        <v>575834</v>
      </c>
      <c r="D29" s="156">
        <v>575834</v>
      </c>
      <c r="E29" s="156">
        <v>575834</v>
      </c>
      <c r="F29" s="157">
        <v>575834</v>
      </c>
      <c r="G29" s="98"/>
      <c r="H29" s="99">
        <v>50</v>
      </c>
      <c r="I29" s="167">
        <v>47986.166666666664</v>
      </c>
      <c r="J29" s="168">
        <v>47986.166666666664</v>
      </c>
      <c r="K29" s="168">
        <v>47986.166666666664</v>
      </c>
      <c r="L29" s="168">
        <v>47986.166666666664</v>
      </c>
      <c r="M29" s="168">
        <v>47986.166666666664</v>
      </c>
      <c r="N29" s="100"/>
      <c r="O29" s="99">
        <v>50</v>
      </c>
      <c r="P29" s="161">
        <v>589416</v>
      </c>
      <c r="Q29" s="162">
        <v>589416</v>
      </c>
      <c r="R29" s="162">
        <v>589416</v>
      </c>
      <c r="S29" s="162">
        <v>589416</v>
      </c>
      <c r="T29" s="163">
        <v>589416</v>
      </c>
    </row>
    <row r="30" spans="1:20" ht="15.3">
      <c r="A30" s="9">
        <v>51</v>
      </c>
      <c r="B30" s="152">
        <v>636051</v>
      </c>
      <c r="C30" s="153">
        <v>636051</v>
      </c>
      <c r="D30" s="153">
        <v>636051</v>
      </c>
      <c r="E30" s="153">
        <v>636051</v>
      </c>
      <c r="F30" s="154">
        <v>636051</v>
      </c>
      <c r="G30" s="98"/>
      <c r="H30" s="99">
        <v>51</v>
      </c>
      <c r="I30" s="165">
        <v>53004.25</v>
      </c>
      <c r="J30" s="166">
        <v>53004.25</v>
      </c>
      <c r="K30" s="166">
        <v>53004.25</v>
      </c>
      <c r="L30" s="166">
        <v>53004.25</v>
      </c>
      <c r="M30" s="166">
        <v>53004.25</v>
      </c>
      <c r="N30" s="100"/>
      <c r="O30" s="99">
        <v>51</v>
      </c>
      <c r="P30" s="158">
        <v>653172</v>
      </c>
      <c r="Q30" s="159">
        <v>653172</v>
      </c>
      <c r="R30" s="159">
        <v>653172</v>
      </c>
      <c r="S30" s="159">
        <v>653172</v>
      </c>
      <c r="T30" s="160">
        <v>653172</v>
      </c>
    </row>
    <row r="31" spans="1:20" ht="15.3">
      <c r="A31" s="9">
        <v>52</v>
      </c>
      <c r="B31" s="152">
        <v>723747</v>
      </c>
      <c r="C31" s="153">
        <v>723747</v>
      </c>
      <c r="D31" s="153">
        <v>723747</v>
      </c>
      <c r="E31" s="153">
        <v>723747</v>
      </c>
      <c r="F31" s="154">
        <v>723747</v>
      </c>
      <c r="G31" s="98"/>
      <c r="H31" s="99">
        <v>52</v>
      </c>
      <c r="I31" s="165">
        <v>60312.25</v>
      </c>
      <c r="J31" s="166">
        <v>60312.25</v>
      </c>
      <c r="K31" s="166">
        <v>60312.25</v>
      </c>
      <c r="L31" s="166">
        <v>60312.25</v>
      </c>
      <c r="M31" s="166">
        <v>60312.25</v>
      </c>
      <c r="N31" s="100"/>
      <c r="O31" s="99">
        <v>52</v>
      </c>
      <c r="P31" s="158">
        <v>743894</v>
      </c>
      <c r="Q31" s="159">
        <v>743894</v>
      </c>
      <c r="R31" s="159">
        <v>743894</v>
      </c>
      <c r="S31" s="159">
        <v>743894</v>
      </c>
      <c r="T31" s="160">
        <v>743894</v>
      </c>
    </row>
    <row r="32" spans="1:20" ht="15.3">
      <c r="A32" s="9">
        <v>53</v>
      </c>
      <c r="B32" s="152">
        <v>794647</v>
      </c>
      <c r="C32" s="153">
        <v>794647</v>
      </c>
      <c r="D32" s="153">
        <v>794647</v>
      </c>
      <c r="E32" s="153">
        <v>794647</v>
      </c>
      <c r="F32" s="154">
        <v>794647</v>
      </c>
      <c r="G32" s="98"/>
      <c r="H32" s="99">
        <v>53</v>
      </c>
      <c r="I32" s="165">
        <v>66220.583333333328</v>
      </c>
      <c r="J32" s="166">
        <v>66220.583333333328</v>
      </c>
      <c r="K32" s="166">
        <v>66220.583333333328</v>
      </c>
      <c r="L32" s="166">
        <v>66220.583333333328</v>
      </c>
      <c r="M32" s="166">
        <v>66220.583333333328</v>
      </c>
      <c r="N32" s="100"/>
      <c r="O32" s="99">
        <v>53</v>
      </c>
      <c r="P32" s="158">
        <v>828078</v>
      </c>
      <c r="Q32" s="159">
        <v>828078</v>
      </c>
      <c r="R32" s="159">
        <v>828078</v>
      </c>
      <c r="S32" s="159">
        <v>828078</v>
      </c>
      <c r="T32" s="160">
        <v>828078</v>
      </c>
    </row>
    <row r="33" spans="1:20" ht="15.3">
      <c r="A33" s="9">
        <v>54</v>
      </c>
      <c r="B33" s="152">
        <v>889167</v>
      </c>
      <c r="C33" s="153">
        <v>889167</v>
      </c>
      <c r="D33" s="153">
        <v>889167</v>
      </c>
      <c r="E33" s="153">
        <v>889167</v>
      </c>
      <c r="F33" s="154">
        <v>889167</v>
      </c>
      <c r="G33" s="98"/>
      <c r="H33" s="99">
        <v>54</v>
      </c>
      <c r="I33" s="165">
        <v>74097.25</v>
      </c>
      <c r="J33" s="166">
        <v>74097.25</v>
      </c>
      <c r="K33" s="166">
        <v>74097.25</v>
      </c>
      <c r="L33" s="166">
        <v>74097.25</v>
      </c>
      <c r="M33" s="166">
        <v>74097.25</v>
      </c>
      <c r="N33" s="100"/>
      <c r="O33" s="99">
        <v>54</v>
      </c>
      <c r="P33" s="158">
        <v>933000</v>
      </c>
      <c r="Q33" s="159">
        <v>933000</v>
      </c>
      <c r="R33" s="159">
        <v>933000</v>
      </c>
      <c r="S33" s="159">
        <v>933000</v>
      </c>
      <c r="T33" s="160">
        <v>933000</v>
      </c>
    </row>
    <row r="34" spans="1:20" ht="15.3">
      <c r="A34" s="10">
        <v>55</v>
      </c>
      <c r="B34" s="155">
        <v>1002782</v>
      </c>
      <c r="C34" s="156">
        <v>1002782</v>
      </c>
      <c r="D34" s="156">
        <v>1002782</v>
      </c>
      <c r="E34" s="156">
        <v>1002782</v>
      </c>
      <c r="F34" s="157">
        <v>1002782</v>
      </c>
      <c r="G34" s="98"/>
      <c r="H34" s="99">
        <v>55</v>
      </c>
      <c r="I34" s="167">
        <v>83565.166666666672</v>
      </c>
      <c r="J34" s="168">
        <v>83565.166666666672</v>
      </c>
      <c r="K34" s="168">
        <v>83565.166666666672</v>
      </c>
      <c r="L34" s="168">
        <v>83565.166666666672</v>
      </c>
      <c r="M34" s="168">
        <v>83565.166666666672</v>
      </c>
      <c r="N34" s="100"/>
      <c r="O34" s="99">
        <v>55</v>
      </c>
      <c r="P34" s="161">
        <v>1046615</v>
      </c>
      <c r="Q34" s="162">
        <v>1046615</v>
      </c>
      <c r="R34" s="162">
        <v>1046615</v>
      </c>
      <c r="S34" s="162">
        <v>1046615</v>
      </c>
      <c r="T34" s="163">
        <v>1046615</v>
      </c>
    </row>
    <row r="35" spans="1:20" ht="15.3">
      <c r="A35" s="8" t="s">
        <v>13</v>
      </c>
      <c r="B35" s="155">
        <v>1130184</v>
      </c>
      <c r="C35" s="156">
        <v>1130184</v>
      </c>
      <c r="D35" s="156">
        <v>1130184</v>
      </c>
      <c r="E35" s="156">
        <v>1130184</v>
      </c>
      <c r="F35" s="157">
        <v>1130184</v>
      </c>
      <c r="G35" s="98"/>
      <c r="H35" s="101" t="s">
        <v>13</v>
      </c>
      <c r="I35" s="167">
        <v>94182</v>
      </c>
      <c r="J35" s="168">
        <v>94182</v>
      </c>
      <c r="K35" s="168">
        <v>94182</v>
      </c>
      <c r="L35" s="168">
        <v>94182</v>
      </c>
      <c r="M35" s="168">
        <v>94182</v>
      </c>
      <c r="N35" s="100"/>
      <c r="O35" s="102" t="s">
        <v>13</v>
      </c>
      <c r="P35" s="161">
        <v>1174020</v>
      </c>
      <c r="Q35" s="162">
        <v>1174020</v>
      </c>
      <c r="R35" s="162">
        <v>1174020</v>
      </c>
      <c r="S35" s="162">
        <v>1174020</v>
      </c>
      <c r="T35" s="163">
        <v>1174020</v>
      </c>
    </row>
    <row r="36" spans="1:20">
      <c r="A36" s="3"/>
      <c r="B36" s="3"/>
      <c r="C36" s="3"/>
      <c r="D36" s="3"/>
      <c r="E36" s="3"/>
      <c r="F36" s="3"/>
      <c r="G36" s="3"/>
      <c r="H36" s="3"/>
      <c r="I36" s="3"/>
      <c r="J36" s="3"/>
      <c r="K36" s="3"/>
      <c r="L36" s="3"/>
      <c r="M36" s="3"/>
      <c r="N36" s="3"/>
      <c r="O36" s="3"/>
      <c r="P36" s="3"/>
      <c r="Q36" s="3"/>
      <c r="R36" s="3"/>
    </row>
    <row r="37" spans="1:20">
      <c r="A37" s="3"/>
      <c r="B37" s="13" t="s">
        <v>14</v>
      </c>
      <c r="C37" s="164">
        <v>1.4983040000000001</v>
      </c>
      <c r="D37" s="3"/>
      <c r="E37" s="3"/>
      <c r="F37" s="3"/>
      <c r="G37" s="3"/>
      <c r="H37" s="3"/>
      <c r="I37" s="3"/>
      <c r="J37" s="3"/>
      <c r="K37" s="3"/>
      <c r="L37" s="3"/>
      <c r="M37" s="3"/>
      <c r="N37" s="3"/>
      <c r="O37" s="3"/>
      <c r="P37" s="3"/>
      <c r="Q37" s="3"/>
      <c r="R37" s="3"/>
    </row>
    <row r="38" spans="1:20">
      <c r="A38" s="3"/>
      <c r="B38" s="13" t="s">
        <v>15</v>
      </c>
      <c r="C38" s="13">
        <v>16.61</v>
      </c>
      <c r="D38" s="3"/>
      <c r="E38" s="3"/>
      <c r="F38" s="3"/>
      <c r="G38" s="3"/>
      <c r="H38" s="3"/>
      <c r="I38" s="3"/>
      <c r="J38" s="3"/>
      <c r="K38" s="3"/>
      <c r="L38" s="3"/>
      <c r="M38" s="3"/>
      <c r="N38" s="3"/>
      <c r="O38" s="3"/>
      <c r="P38" s="3"/>
      <c r="Q38" s="3"/>
      <c r="R38" s="3"/>
    </row>
    <row r="39" spans="1:20">
      <c r="A39" s="3"/>
      <c r="B39" s="13" t="s">
        <v>16</v>
      </c>
      <c r="C39" s="13">
        <v>17.09</v>
      </c>
      <c r="D39" s="3"/>
      <c r="E39" s="3"/>
      <c r="F39" s="3"/>
      <c r="G39" s="3"/>
      <c r="H39" s="3"/>
      <c r="I39" s="3"/>
      <c r="J39" s="3"/>
      <c r="K39" s="3"/>
      <c r="L39" s="3"/>
      <c r="M39" s="3"/>
      <c r="N39" s="3"/>
      <c r="O39" s="3"/>
      <c r="P39" s="3"/>
      <c r="Q39" s="3"/>
      <c r="R39" s="3"/>
    </row>
    <row r="40" spans="1:20">
      <c r="A40" s="3"/>
      <c r="B40" s="13" t="s">
        <v>214</v>
      </c>
      <c r="C40" s="13">
        <v>2.19</v>
      </c>
      <c r="D40" s="3"/>
      <c r="E40" s="3"/>
      <c r="F40" s="3"/>
      <c r="G40" s="3"/>
      <c r="H40" s="3"/>
      <c r="I40" s="3"/>
      <c r="J40" s="3"/>
      <c r="K40" s="3"/>
      <c r="L40" s="3"/>
      <c r="M40" s="3"/>
      <c r="N40" s="3"/>
      <c r="O40" s="3"/>
      <c r="P40" s="3"/>
      <c r="Q40" s="3"/>
      <c r="R40" s="3"/>
    </row>
    <row r="41" spans="1:20">
      <c r="A41" s="3"/>
      <c r="B41" s="13" t="s">
        <v>215</v>
      </c>
      <c r="C41" s="13">
        <v>3.73</v>
      </c>
      <c r="D41" s="3"/>
      <c r="E41" s="3"/>
      <c r="F41" s="3"/>
      <c r="G41" s="3"/>
      <c r="H41" s="3"/>
      <c r="I41" s="3"/>
      <c r="J41" s="3"/>
      <c r="K41" s="3"/>
      <c r="L41" s="3"/>
      <c r="M41" s="3"/>
      <c r="N41" s="3"/>
      <c r="O41" s="3"/>
      <c r="P41" s="3"/>
      <c r="Q41" s="3"/>
      <c r="R41" s="3"/>
    </row>
    <row r="42" spans="1:20">
      <c r="A42" s="3"/>
      <c r="B42" s="13" t="s">
        <v>204</v>
      </c>
      <c r="C42" s="13">
        <v>41000</v>
      </c>
      <c r="D42" s="3"/>
      <c r="E42" s="3"/>
      <c r="F42" s="3"/>
      <c r="G42" s="3"/>
      <c r="H42" s="3"/>
      <c r="I42" s="3"/>
      <c r="J42" s="3"/>
      <c r="K42" s="3"/>
      <c r="L42" s="3"/>
      <c r="M42" s="3"/>
      <c r="N42" s="3"/>
      <c r="O42" s="3"/>
      <c r="P42" s="3"/>
      <c r="Q42" s="3"/>
      <c r="R42" s="3"/>
    </row>
    <row r="43" spans="1:20">
      <c r="A43" s="271" t="s">
        <v>207</v>
      </c>
      <c r="B43" s="271"/>
    </row>
    <row r="44" spans="1:20">
      <c r="A44" t="s">
        <v>200</v>
      </c>
      <c r="B44">
        <v>1500</v>
      </c>
    </row>
    <row r="45" spans="1:20">
      <c r="A45" t="s">
        <v>178</v>
      </c>
      <c r="B45" s="105">
        <f>Musikskolelærere!B3</f>
        <v>0</v>
      </c>
      <c r="G45">
        <v>37656.75</v>
      </c>
    </row>
    <row r="46" spans="1:20">
      <c r="A46" t="s">
        <v>192</v>
      </c>
      <c r="B46" t="e">
        <f>VLOOKUP(Musikskolelærere!B3,'Skoler, stedtillæg'!A1:B98,2,FALSE)</f>
        <v>#N/A</v>
      </c>
      <c r="G46">
        <v>7777.08</v>
      </c>
    </row>
    <row r="47" spans="1:20">
      <c r="A47" t="s">
        <v>193</v>
      </c>
      <c r="B47">
        <f>Musikskolelærere!B5</f>
        <v>0</v>
      </c>
      <c r="G47">
        <v>2415.08</v>
      </c>
    </row>
    <row r="48" spans="1:20">
      <c r="G48">
        <f>SUM(G45:G47)</f>
        <v>47848.91</v>
      </c>
    </row>
    <row r="49" spans="1:2">
      <c r="A49" t="s">
        <v>205</v>
      </c>
      <c r="B49" s="94" t="e" cm="1">
        <f t="array" ref="B49">_xlfn.XLOOKUP(B46,B6:F6,_xlfn.XLOOKUP(B47,A7:A35,B7:F35))</f>
        <v>#N/A</v>
      </c>
    </row>
    <row r="50" spans="1:2">
      <c r="A50" t="s">
        <v>212</v>
      </c>
      <c r="B50" s="94" t="e" cm="1">
        <f t="array" ref="B50">_xlfn.XLOOKUP(B46,P6:T6,_xlfn.XLOOKUP(B47,O7:O35,P7:T35))</f>
        <v>#N/A</v>
      </c>
    </row>
    <row r="52" spans="1:2">
      <c r="A52" s="271" t="s">
        <v>208</v>
      </c>
      <c r="B52" s="271"/>
    </row>
    <row r="53" spans="1:2">
      <c r="A53" t="s">
        <v>178</v>
      </c>
      <c r="B53" s="105">
        <f>Musikskoleledere_mellemledere!B3</f>
        <v>0</v>
      </c>
    </row>
    <row r="54" spans="1:2">
      <c r="A54" t="s">
        <v>209</v>
      </c>
      <c r="B54" s="105" t="e">
        <f>VLOOKUP(Musikskoleledere_mellemledere!B3,'Skoler, stedtillæg'!A1:B98,2,FALSE)</f>
        <v>#N/A</v>
      </c>
    </row>
    <row r="55" spans="1:2">
      <c r="A55" t="s">
        <v>193</v>
      </c>
      <c r="B55" s="105">
        <f>Musikskoleledere_mellemledere!B5</f>
        <v>0</v>
      </c>
    </row>
    <row r="56" spans="1:2">
      <c r="A56" t="s">
        <v>200</v>
      </c>
      <c r="B56" s="105">
        <v>3600</v>
      </c>
    </row>
    <row r="57" spans="1:2">
      <c r="B57" s="105"/>
    </row>
    <row r="58" spans="1:2">
      <c r="B58" s="105"/>
    </row>
    <row r="59" spans="1:2">
      <c r="A59" t="s">
        <v>206</v>
      </c>
      <c r="B59" s="105" t="e" cm="1">
        <f t="array" ref="B59">_xlfn.XLOOKUP(B54,B6:F6,_xlfn.XLOOKUP(B55,A7:A35,B7:F35))</f>
        <v>#N/A</v>
      </c>
    </row>
    <row r="60" spans="1:2">
      <c r="A60" t="s">
        <v>213</v>
      </c>
      <c r="B60" t="e" cm="1">
        <f t="array" ref="B60">_xlfn.XLOOKUP(B54,P6:T6,_xlfn.XLOOKUP(B55,O7:O35,P7:T35))</f>
        <v>#N/A</v>
      </c>
    </row>
    <row r="62" spans="1:2">
      <c r="B62" t="s">
        <v>196</v>
      </c>
    </row>
    <row r="63" spans="1:2">
      <c r="B63" t="s">
        <v>197</v>
      </c>
    </row>
  </sheetData>
  <mergeCells count="9">
    <mergeCell ref="A43:B43"/>
    <mergeCell ref="A52:B52"/>
    <mergeCell ref="P4:T4"/>
    <mergeCell ref="P5:T5"/>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179687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7" customHeight="1" thickBot="1">
      <c r="A1" s="1" t="s">
        <v>17</v>
      </c>
      <c r="C1" s="2"/>
      <c r="D1" s="2"/>
      <c r="E1" s="2"/>
      <c r="F1" s="2"/>
      <c r="G1" s="2"/>
      <c r="H1" s="2"/>
      <c r="I1" s="2"/>
      <c r="J1" s="2"/>
      <c r="K1" s="2"/>
      <c r="L1" s="2"/>
      <c r="M1" s="2"/>
      <c r="N1" s="4"/>
      <c r="AD1" s="281" t="s">
        <v>18</v>
      </c>
      <c r="AE1" s="281"/>
      <c r="AF1" s="281"/>
      <c r="AG1" s="281"/>
      <c r="AH1" s="281"/>
    </row>
    <row r="2" spans="1:34" ht="15.6" thickBot="1">
      <c r="A2" s="2" t="s">
        <v>1</v>
      </c>
      <c r="C2" s="2"/>
      <c r="D2" s="2"/>
      <c r="E2" s="2"/>
      <c r="F2" s="2"/>
      <c r="G2" s="2"/>
      <c r="H2" s="2"/>
      <c r="I2" s="2"/>
      <c r="J2" s="2"/>
      <c r="K2" s="2"/>
      <c r="L2" s="2"/>
      <c r="M2" s="2"/>
      <c r="N2" s="2"/>
      <c r="R2" s="282" t="s">
        <v>19</v>
      </c>
      <c r="S2" s="283"/>
      <c r="T2" s="283"/>
      <c r="U2" s="283"/>
      <c r="V2" s="283"/>
      <c r="W2" s="283"/>
      <c r="X2" s="14"/>
      <c r="Y2" s="15"/>
      <c r="Z2" s="16" t="s">
        <v>20</v>
      </c>
      <c r="AA2" s="17" t="s">
        <v>21</v>
      </c>
      <c r="AB2" s="18">
        <f>D19*30/37</f>
        <v>344948.10810810811</v>
      </c>
      <c r="AD2" s="19" t="s">
        <v>22</v>
      </c>
      <c r="AE2" s="20" t="s">
        <v>23</v>
      </c>
      <c r="AF2" s="21" t="s">
        <v>24</v>
      </c>
      <c r="AG2" s="22" t="s">
        <v>25</v>
      </c>
      <c r="AH2" s="23" t="s">
        <v>26</v>
      </c>
    </row>
    <row r="3" spans="1:34" ht="15.6" thickBot="1">
      <c r="A3" s="5" t="s">
        <v>2</v>
      </c>
      <c r="B3" s="284" t="s">
        <v>3</v>
      </c>
      <c r="C3" s="285"/>
      <c r="D3" s="285"/>
      <c r="E3" s="285"/>
      <c r="F3" s="286"/>
      <c r="G3" s="284" t="s">
        <v>4</v>
      </c>
      <c r="H3" s="285"/>
      <c r="I3" s="285"/>
      <c r="J3" s="285"/>
      <c r="K3" s="286"/>
      <c r="L3" s="284" t="s">
        <v>5</v>
      </c>
      <c r="M3" s="285"/>
      <c r="N3" s="285"/>
      <c r="O3" s="285"/>
      <c r="P3" s="286"/>
      <c r="R3" s="24" t="s">
        <v>27</v>
      </c>
      <c r="S3" s="25" t="s">
        <v>28</v>
      </c>
      <c r="T3" s="25" t="s">
        <v>29</v>
      </c>
      <c r="U3" s="25" t="s">
        <v>30</v>
      </c>
      <c r="V3" s="25" t="s">
        <v>31</v>
      </c>
      <c r="W3" s="25" t="s">
        <v>32</v>
      </c>
      <c r="X3" s="26" t="s">
        <v>33</v>
      </c>
      <c r="Y3" s="15"/>
      <c r="Z3" s="16" t="s">
        <v>34</v>
      </c>
      <c r="AA3" s="16" t="s">
        <v>35</v>
      </c>
      <c r="AB3" s="27">
        <f>S5*30/37</f>
        <v>1817.0489189189188</v>
      </c>
      <c r="AD3" s="28" t="s">
        <v>36</v>
      </c>
      <c r="AE3" s="29" t="s">
        <v>37</v>
      </c>
      <c r="AF3" s="30">
        <v>94.65</v>
      </c>
      <c r="AG3" s="31">
        <v>189.35</v>
      </c>
      <c r="AH3" s="32">
        <f>AF3+AG3</f>
        <v>284</v>
      </c>
    </row>
    <row r="4" spans="1:34" ht="15.6" thickBot="1">
      <c r="A4" s="6" t="s">
        <v>6</v>
      </c>
      <c r="B4" s="278" t="s">
        <v>7</v>
      </c>
      <c r="C4" s="279"/>
      <c r="D4" s="279"/>
      <c r="E4" s="279"/>
      <c r="F4" s="280"/>
      <c r="G4" s="278" t="s">
        <v>7</v>
      </c>
      <c r="H4" s="279"/>
      <c r="I4" s="279"/>
      <c r="J4" s="279"/>
      <c r="K4" s="280"/>
      <c r="L4" s="278" t="s">
        <v>7</v>
      </c>
      <c r="M4" s="279"/>
      <c r="N4" s="279"/>
      <c r="O4" s="279"/>
      <c r="P4" s="280"/>
      <c r="R4" s="24">
        <v>1000</v>
      </c>
      <c r="S4" s="25">
        <f>R4*1.494018</f>
        <v>1494.018</v>
      </c>
      <c r="T4" s="33">
        <f>S4/12</f>
        <v>124.50150000000001</v>
      </c>
      <c r="U4" s="33">
        <f>S4*16.61/100</f>
        <v>248.1563898</v>
      </c>
      <c r="V4" s="25">
        <f t="shared" ref="V4:V24" si="0">S4+U4</f>
        <v>1742.1743898</v>
      </c>
      <c r="W4" s="34">
        <f t="shared" ref="W4:W24" si="1">S4*17.09/100</f>
        <v>255.32767619999998</v>
      </c>
      <c r="X4" s="26">
        <f t="shared" ref="X4:X24" si="2">S4+W4</f>
        <v>1749.3456762000001</v>
      </c>
      <c r="Y4" s="15"/>
      <c r="Z4" s="16" t="s">
        <v>38</v>
      </c>
      <c r="AA4" s="16" t="s">
        <v>39</v>
      </c>
      <c r="AB4" s="27">
        <f>7900*B36</f>
        <v>11802.742200000001</v>
      </c>
      <c r="AD4" s="28" t="s">
        <v>40</v>
      </c>
      <c r="AE4" s="29" t="s">
        <v>41</v>
      </c>
      <c r="AF4" s="30">
        <v>63.1</v>
      </c>
      <c r="AG4" s="31">
        <v>126.25</v>
      </c>
      <c r="AH4" s="32">
        <f t="shared" ref="AH4:AH6" si="3">AF4+AG4</f>
        <v>189.35</v>
      </c>
    </row>
    <row r="5" spans="1:34" ht="15.6" thickBot="1">
      <c r="A5" s="7"/>
      <c r="B5" s="35" t="s">
        <v>8</v>
      </c>
      <c r="C5" s="36" t="s">
        <v>9</v>
      </c>
      <c r="D5" s="36" t="s">
        <v>10</v>
      </c>
      <c r="E5" s="36" t="s">
        <v>11</v>
      </c>
      <c r="F5" s="37" t="s">
        <v>12</v>
      </c>
      <c r="G5" s="38" t="s">
        <v>8</v>
      </c>
      <c r="H5" s="36" t="s">
        <v>9</v>
      </c>
      <c r="I5" s="36" t="s">
        <v>10</v>
      </c>
      <c r="J5" s="36" t="s">
        <v>11</v>
      </c>
      <c r="K5" s="37" t="s">
        <v>12</v>
      </c>
      <c r="L5" s="35" t="s">
        <v>8</v>
      </c>
      <c r="M5" s="36" t="s">
        <v>9</v>
      </c>
      <c r="N5" s="36" t="s">
        <v>10</v>
      </c>
      <c r="O5" s="36" t="s">
        <v>11</v>
      </c>
      <c r="P5" s="37" t="s">
        <v>12</v>
      </c>
      <c r="R5" s="39">
        <v>1500</v>
      </c>
      <c r="S5" s="25">
        <f t="shared" ref="S5:S24" si="4">R5*1.494018</f>
        <v>2241.027</v>
      </c>
      <c r="T5" s="33">
        <f t="shared" ref="T5:T24" si="5">S5/12</f>
        <v>186.75225</v>
      </c>
      <c r="U5" s="33">
        <f t="shared" ref="U5:U22" si="6">S5*16.61/100</f>
        <v>372.23458469999997</v>
      </c>
      <c r="V5" s="25">
        <f t="shared" si="0"/>
        <v>2613.2615847000002</v>
      </c>
      <c r="W5" s="34">
        <f t="shared" si="1"/>
        <v>382.99151430000001</v>
      </c>
      <c r="X5" s="26">
        <f t="shared" si="2"/>
        <v>2624.0185142999999</v>
      </c>
      <c r="Y5" s="15"/>
      <c r="Z5" s="40" t="s">
        <v>42</v>
      </c>
      <c r="AA5" s="41"/>
      <c r="AB5" s="42">
        <f>SUM(AB2:AB4)</f>
        <v>358567.89922702702</v>
      </c>
      <c r="AD5" s="28" t="s">
        <v>43</v>
      </c>
      <c r="AE5" s="29" t="s">
        <v>44</v>
      </c>
      <c r="AF5" s="30">
        <v>31.55</v>
      </c>
      <c r="AG5" s="31">
        <v>63.1</v>
      </c>
      <c r="AH5" s="32">
        <f t="shared" si="3"/>
        <v>94.65</v>
      </c>
    </row>
    <row r="6" spans="1:34" ht="15.6" thickBot="1">
      <c r="A6" s="9">
        <v>28</v>
      </c>
      <c r="B6" s="43">
        <v>339738</v>
      </c>
      <c r="C6" s="44">
        <v>343911</v>
      </c>
      <c r="D6" s="44">
        <v>346799</v>
      </c>
      <c r="E6" s="44">
        <v>350972</v>
      </c>
      <c r="F6" s="45">
        <v>353858</v>
      </c>
      <c r="G6" s="43">
        <v>28311.5</v>
      </c>
      <c r="H6" s="44">
        <v>28659.25</v>
      </c>
      <c r="I6" s="44">
        <v>28899.919999999998</v>
      </c>
      <c r="J6" s="44">
        <v>29247.67</v>
      </c>
      <c r="K6" s="44">
        <v>29488.17</v>
      </c>
      <c r="L6" s="43">
        <v>339738</v>
      </c>
      <c r="M6" s="44">
        <v>343911</v>
      </c>
      <c r="N6" s="44">
        <v>346799</v>
      </c>
      <c r="O6" s="44">
        <v>350972</v>
      </c>
      <c r="P6" s="45">
        <v>353858</v>
      </c>
      <c r="R6" s="24">
        <v>2500</v>
      </c>
      <c r="S6" s="25">
        <f t="shared" si="4"/>
        <v>3735.0450000000001</v>
      </c>
      <c r="T6" s="33">
        <f t="shared" si="5"/>
        <v>311.25375000000003</v>
      </c>
      <c r="U6" s="33">
        <f t="shared" si="6"/>
        <v>620.39097449999997</v>
      </c>
      <c r="V6" s="25">
        <f t="shared" si="0"/>
        <v>4355.4359745000002</v>
      </c>
      <c r="W6" s="34">
        <f t="shared" si="1"/>
        <v>638.31919049999999</v>
      </c>
      <c r="X6" s="26">
        <f t="shared" si="2"/>
        <v>4373.3641905000004</v>
      </c>
      <c r="Y6" s="15"/>
      <c r="Z6" s="40" t="s">
        <v>45</v>
      </c>
      <c r="AA6" s="41"/>
      <c r="AB6" s="42">
        <f>AB5/12</f>
        <v>29880.65826891892</v>
      </c>
      <c r="AD6" s="46" t="s">
        <v>46</v>
      </c>
      <c r="AE6" s="47" t="s">
        <v>47</v>
      </c>
      <c r="AF6" s="48">
        <v>0</v>
      </c>
      <c r="AG6" s="49">
        <v>0</v>
      </c>
      <c r="AH6" s="32">
        <f t="shared" si="3"/>
        <v>0</v>
      </c>
    </row>
    <row r="7" spans="1:34" ht="15.3">
      <c r="A7" s="9">
        <v>29</v>
      </c>
      <c r="B7" s="43">
        <v>345404</v>
      </c>
      <c r="C7" s="44">
        <v>349380</v>
      </c>
      <c r="D7" s="44">
        <v>352130</v>
      </c>
      <c r="E7" s="44">
        <v>356104</v>
      </c>
      <c r="F7" s="45">
        <v>358856</v>
      </c>
      <c r="G7" s="43">
        <v>28783.67</v>
      </c>
      <c r="H7" s="44">
        <v>29115</v>
      </c>
      <c r="I7" s="44">
        <v>29344.17</v>
      </c>
      <c r="J7" s="44">
        <v>29675.33</v>
      </c>
      <c r="K7" s="44">
        <v>29904.67</v>
      </c>
      <c r="L7" s="43">
        <v>345404</v>
      </c>
      <c r="M7" s="44">
        <v>349380</v>
      </c>
      <c r="N7" s="44">
        <v>352130</v>
      </c>
      <c r="O7" s="44">
        <v>356104</v>
      </c>
      <c r="P7" s="45">
        <v>358856</v>
      </c>
      <c r="R7" s="24">
        <v>2800</v>
      </c>
      <c r="S7" s="25">
        <f t="shared" si="4"/>
        <v>4183.2503999999999</v>
      </c>
      <c r="T7" s="33">
        <f t="shared" si="5"/>
        <v>348.60419999999999</v>
      </c>
      <c r="U7" s="33">
        <f t="shared" si="6"/>
        <v>694.83789143999991</v>
      </c>
      <c r="V7" s="25">
        <f t="shared" si="0"/>
        <v>4878.0882914399999</v>
      </c>
      <c r="W7" s="34">
        <f t="shared" si="1"/>
        <v>714.91749335999998</v>
      </c>
      <c r="X7" s="26">
        <f t="shared" si="2"/>
        <v>4898.1678933599997</v>
      </c>
      <c r="Y7" s="15"/>
      <c r="Z7" s="15"/>
      <c r="AA7" s="15"/>
      <c r="AB7" s="15"/>
    </row>
    <row r="8" spans="1:34" ht="15.3">
      <c r="A8" s="10">
        <v>30</v>
      </c>
      <c r="B8" s="50">
        <v>351191</v>
      </c>
      <c r="C8" s="51">
        <v>354954</v>
      </c>
      <c r="D8" s="51">
        <v>357561</v>
      </c>
      <c r="E8" s="51">
        <v>361323</v>
      </c>
      <c r="F8" s="52">
        <v>363929</v>
      </c>
      <c r="G8" s="50">
        <v>29265.919999999998</v>
      </c>
      <c r="H8" s="51">
        <v>29579.5</v>
      </c>
      <c r="I8" s="51">
        <v>29796.75</v>
      </c>
      <c r="J8" s="51">
        <v>30110.25</v>
      </c>
      <c r="K8" s="51">
        <v>30327.42</v>
      </c>
      <c r="L8" s="50">
        <v>351191</v>
      </c>
      <c r="M8" s="51">
        <v>354954</v>
      </c>
      <c r="N8" s="51">
        <v>357561</v>
      </c>
      <c r="O8" s="51">
        <v>361323</v>
      </c>
      <c r="P8" s="52">
        <v>363929</v>
      </c>
      <c r="R8" s="24">
        <v>3100</v>
      </c>
      <c r="S8" s="25">
        <f t="shared" si="4"/>
        <v>4631.4558000000006</v>
      </c>
      <c r="T8" s="33">
        <f t="shared" si="5"/>
        <v>385.95465000000007</v>
      </c>
      <c r="U8" s="33">
        <f t="shared" si="6"/>
        <v>769.28480838000007</v>
      </c>
      <c r="V8" s="25">
        <f t="shared" si="0"/>
        <v>5400.7406083800006</v>
      </c>
      <c r="W8" s="34">
        <f t="shared" si="1"/>
        <v>791.51579622000008</v>
      </c>
      <c r="X8" s="26">
        <f t="shared" si="2"/>
        <v>5422.9715962200007</v>
      </c>
      <c r="Y8" s="15"/>
      <c r="Z8" s="53" t="s">
        <v>48</v>
      </c>
      <c r="AA8" s="25"/>
      <c r="AB8" s="25"/>
    </row>
    <row r="9" spans="1:34" ht="15.3">
      <c r="A9" s="9">
        <v>31</v>
      </c>
      <c r="B9" s="43">
        <v>357111</v>
      </c>
      <c r="C9" s="44">
        <v>360652</v>
      </c>
      <c r="D9" s="44">
        <v>363102</v>
      </c>
      <c r="E9" s="44">
        <v>366643</v>
      </c>
      <c r="F9" s="45">
        <v>369093</v>
      </c>
      <c r="G9" s="43">
        <v>29759.25</v>
      </c>
      <c r="H9" s="44">
        <v>30054.33</v>
      </c>
      <c r="I9" s="44">
        <v>30258.5</v>
      </c>
      <c r="J9" s="44">
        <v>30553.58</v>
      </c>
      <c r="K9" s="44">
        <v>30757.75</v>
      </c>
      <c r="L9" s="43">
        <v>357111</v>
      </c>
      <c r="M9" s="44">
        <v>360652</v>
      </c>
      <c r="N9" s="44">
        <v>363102</v>
      </c>
      <c r="O9" s="44">
        <v>366643</v>
      </c>
      <c r="P9" s="45">
        <v>369093</v>
      </c>
      <c r="R9" s="24">
        <v>3400</v>
      </c>
      <c r="S9" s="25">
        <f t="shared" si="4"/>
        <v>5079.6612000000005</v>
      </c>
      <c r="T9" s="33">
        <f t="shared" si="5"/>
        <v>423.30510000000004</v>
      </c>
      <c r="U9" s="33">
        <f t="shared" si="6"/>
        <v>843.73172532000012</v>
      </c>
      <c r="V9" s="25">
        <f t="shared" si="0"/>
        <v>5923.3929253200004</v>
      </c>
      <c r="W9" s="34">
        <f t="shared" si="1"/>
        <v>868.11409907999996</v>
      </c>
      <c r="X9" s="26">
        <f t="shared" si="2"/>
        <v>5947.77529908</v>
      </c>
      <c r="Y9" s="15"/>
      <c r="Z9" s="25" t="s">
        <v>49</v>
      </c>
      <c r="AA9" s="54" t="s">
        <v>50</v>
      </c>
      <c r="AB9" s="55">
        <f>B37*N19*30/100/37</f>
        <v>57295.880756756756</v>
      </c>
    </row>
    <row r="10" spans="1:34" ht="15.3">
      <c r="A10" s="9">
        <v>32</v>
      </c>
      <c r="B10" s="43">
        <v>363161</v>
      </c>
      <c r="C10" s="44">
        <v>366463</v>
      </c>
      <c r="D10" s="44">
        <v>368747</v>
      </c>
      <c r="E10" s="44">
        <v>372050</v>
      </c>
      <c r="F10" s="45">
        <v>374336</v>
      </c>
      <c r="G10" s="43">
        <v>30263.42</v>
      </c>
      <c r="H10" s="44">
        <v>30538.58</v>
      </c>
      <c r="I10" s="44">
        <v>30728.92</v>
      </c>
      <c r="J10" s="44">
        <v>31004.17</v>
      </c>
      <c r="K10" s="44">
        <v>31194.67</v>
      </c>
      <c r="L10" s="43">
        <v>363161</v>
      </c>
      <c r="M10" s="44">
        <v>366463</v>
      </c>
      <c r="N10" s="44">
        <v>368747</v>
      </c>
      <c r="O10" s="44">
        <v>372050</v>
      </c>
      <c r="P10" s="45">
        <v>374336</v>
      </c>
      <c r="R10" s="24">
        <v>3600</v>
      </c>
      <c r="S10" s="25">
        <f t="shared" si="4"/>
        <v>5378.4648000000007</v>
      </c>
      <c r="T10" s="33">
        <f t="shared" si="5"/>
        <v>448.20540000000005</v>
      </c>
      <c r="U10" s="33">
        <f t="shared" si="6"/>
        <v>893.36300328000016</v>
      </c>
      <c r="V10" s="25">
        <f t="shared" si="0"/>
        <v>6271.8278032800008</v>
      </c>
      <c r="W10" s="34">
        <f t="shared" si="1"/>
        <v>919.17963431999999</v>
      </c>
      <c r="X10" s="26">
        <f t="shared" si="2"/>
        <v>6297.644434320001</v>
      </c>
      <c r="Y10" s="15"/>
      <c r="Z10" s="25"/>
      <c r="AA10" s="25" t="s">
        <v>51</v>
      </c>
      <c r="AB10" s="25"/>
      <c r="AD10" s="3" t="s">
        <v>52</v>
      </c>
    </row>
    <row r="11" spans="1:34" ht="15.3">
      <c r="A11" s="9">
        <v>33</v>
      </c>
      <c r="B11" s="43">
        <v>369344</v>
      </c>
      <c r="C11" s="44">
        <v>372393</v>
      </c>
      <c r="D11" s="44">
        <v>374504</v>
      </c>
      <c r="E11" s="44">
        <v>377554</v>
      </c>
      <c r="F11" s="45">
        <v>379663</v>
      </c>
      <c r="G11" s="43">
        <v>30778.67</v>
      </c>
      <c r="H11" s="44">
        <v>31032.75</v>
      </c>
      <c r="I11" s="44">
        <v>31208.67</v>
      </c>
      <c r="J11" s="44">
        <v>31462.83</v>
      </c>
      <c r="K11" s="44">
        <v>31638.58</v>
      </c>
      <c r="L11" s="43">
        <v>369344</v>
      </c>
      <c r="M11" s="44">
        <v>372393</v>
      </c>
      <c r="N11" s="44">
        <v>374504</v>
      </c>
      <c r="O11" s="44">
        <v>377554</v>
      </c>
      <c r="P11" s="45">
        <v>379663</v>
      </c>
      <c r="R11" s="24">
        <v>3800</v>
      </c>
      <c r="S11" s="25">
        <f t="shared" si="4"/>
        <v>5677.2683999999999</v>
      </c>
      <c r="T11" s="33">
        <f t="shared" si="5"/>
        <v>473.10570000000001</v>
      </c>
      <c r="U11" s="33">
        <f t="shared" si="6"/>
        <v>942.99428123999996</v>
      </c>
      <c r="V11" s="25">
        <f t="shared" si="0"/>
        <v>6620.2626812399994</v>
      </c>
      <c r="W11" s="34">
        <f t="shared" si="1"/>
        <v>970.24516955999991</v>
      </c>
      <c r="X11" s="26">
        <f t="shared" si="2"/>
        <v>6647.5135695600002</v>
      </c>
      <c r="Y11" s="15"/>
      <c r="Z11" s="25" t="s">
        <v>53</v>
      </c>
      <c r="AA11" s="56" t="s">
        <v>54</v>
      </c>
      <c r="AB11" s="25">
        <f>B36*1500*B37/100/37*30</f>
        <v>301.81182543243239</v>
      </c>
    </row>
    <row r="12" spans="1:34" ht="15.3">
      <c r="A12" s="9">
        <v>34</v>
      </c>
      <c r="B12" s="43">
        <v>375669</v>
      </c>
      <c r="C12" s="44">
        <v>378451</v>
      </c>
      <c r="D12" s="44">
        <v>380375</v>
      </c>
      <c r="E12" s="44">
        <v>383157</v>
      </c>
      <c r="F12" s="45">
        <v>385083</v>
      </c>
      <c r="G12" s="43">
        <v>31305.75</v>
      </c>
      <c r="H12" s="44">
        <v>31537.58</v>
      </c>
      <c r="I12" s="44">
        <v>31697.919999999998</v>
      </c>
      <c r="J12" s="44">
        <v>31929.75</v>
      </c>
      <c r="K12" s="44">
        <v>32090.25</v>
      </c>
      <c r="L12" s="43">
        <v>375669</v>
      </c>
      <c r="M12" s="44">
        <v>378451</v>
      </c>
      <c r="N12" s="44">
        <v>380375</v>
      </c>
      <c r="O12" s="44">
        <v>383157</v>
      </c>
      <c r="P12" s="45">
        <v>385083</v>
      </c>
      <c r="R12" s="24">
        <v>4100</v>
      </c>
      <c r="S12" s="25">
        <f t="shared" si="4"/>
        <v>6125.4738000000007</v>
      </c>
      <c r="T12" s="33">
        <f t="shared" si="5"/>
        <v>510.45615000000004</v>
      </c>
      <c r="U12" s="33">
        <f t="shared" si="6"/>
        <v>1017.44119818</v>
      </c>
      <c r="V12" s="25">
        <f t="shared" si="0"/>
        <v>7142.914998180001</v>
      </c>
      <c r="W12" s="34">
        <f t="shared" si="1"/>
        <v>1046.8434724200001</v>
      </c>
      <c r="X12" s="26">
        <f t="shared" si="2"/>
        <v>7172.3172724200012</v>
      </c>
      <c r="Y12" s="15"/>
      <c r="Z12" s="25"/>
      <c r="AA12" s="57" t="s">
        <v>55</v>
      </c>
      <c r="AB12" s="25"/>
    </row>
    <row r="13" spans="1:34" ht="15.3">
      <c r="A13" s="10">
        <v>35</v>
      </c>
      <c r="B13" s="50">
        <v>382128</v>
      </c>
      <c r="C13" s="51">
        <v>384626</v>
      </c>
      <c r="D13" s="51">
        <v>386355</v>
      </c>
      <c r="E13" s="51">
        <v>388851</v>
      </c>
      <c r="F13" s="52">
        <v>390581</v>
      </c>
      <c r="G13" s="50">
        <v>31844</v>
      </c>
      <c r="H13" s="51">
        <v>32052.17</v>
      </c>
      <c r="I13" s="51">
        <v>32196.25</v>
      </c>
      <c r="J13" s="51">
        <v>32404.25</v>
      </c>
      <c r="K13" s="51">
        <v>32548.42</v>
      </c>
      <c r="L13" s="50">
        <v>382128</v>
      </c>
      <c r="M13" s="51">
        <v>384626</v>
      </c>
      <c r="N13" s="51">
        <v>386355</v>
      </c>
      <c r="O13" s="51">
        <v>388851</v>
      </c>
      <c r="P13" s="52">
        <v>390581</v>
      </c>
      <c r="R13" s="24">
        <v>4300</v>
      </c>
      <c r="S13" s="25">
        <f t="shared" si="4"/>
        <v>6424.2773999999999</v>
      </c>
      <c r="T13" s="33">
        <f t="shared" si="5"/>
        <v>535.35645</v>
      </c>
      <c r="U13" s="33">
        <f t="shared" si="6"/>
        <v>1067.0724761399999</v>
      </c>
      <c r="V13" s="25">
        <f t="shared" si="0"/>
        <v>7491.3498761399997</v>
      </c>
      <c r="W13" s="34">
        <f t="shared" si="1"/>
        <v>1097.9090076599998</v>
      </c>
      <c r="X13" s="26">
        <f t="shared" si="2"/>
        <v>7522.1864076599995</v>
      </c>
      <c r="Y13" s="15"/>
      <c r="Z13" s="25" t="s">
        <v>56</v>
      </c>
      <c r="AA13" s="56" t="s">
        <v>57</v>
      </c>
      <c r="AB13" s="25">
        <f>B36*B37*7900/100</f>
        <v>1960.4354794200001</v>
      </c>
    </row>
    <row r="14" spans="1:34" ht="15.3">
      <c r="A14" s="9">
        <v>36</v>
      </c>
      <c r="B14" s="43">
        <v>388735</v>
      </c>
      <c r="C14" s="44">
        <v>390933</v>
      </c>
      <c r="D14" s="44">
        <v>392452</v>
      </c>
      <c r="E14" s="44">
        <v>394648</v>
      </c>
      <c r="F14" s="45">
        <v>396169</v>
      </c>
      <c r="G14" s="43">
        <v>32394.58</v>
      </c>
      <c r="H14" s="44">
        <v>32577.75</v>
      </c>
      <c r="I14" s="44">
        <v>32704.33</v>
      </c>
      <c r="J14" s="44">
        <v>32887.33</v>
      </c>
      <c r="K14" s="44">
        <v>33014.080000000002</v>
      </c>
      <c r="L14" s="43">
        <v>388735</v>
      </c>
      <c r="M14" s="44">
        <v>390933</v>
      </c>
      <c r="N14" s="44">
        <v>392452</v>
      </c>
      <c r="O14" s="44">
        <v>394648</v>
      </c>
      <c r="P14" s="45">
        <v>396169</v>
      </c>
      <c r="R14" s="24">
        <v>4800</v>
      </c>
      <c r="S14" s="25">
        <f t="shared" si="4"/>
        <v>7171.2864</v>
      </c>
      <c r="T14" s="33">
        <f t="shared" si="5"/>
        <v>597.60720000000003</v>
      </c>
      <c r="U14" s="33">
        <f t="shared" si="6"/>
        <v>1191.1506710399999</v>
      </c>
      <c r="V14" s="25">
        <f t="shared" si="0"/>
        <v>8362.4370710399999</v>
      </c>
      <c r="W14" s="34">
        <f t="shared" si="1"/>
        <v>1225.5728457600001</v>
      </c>
      <c r="X14" s="26">
        <f t="shared" si="2"/>
        <v>8396.8592457600007</v>
      </c>
      <c r="Y14" s="15"/>
      <c r="Z14" s="53"/>
      <c r="AA14" s="58">
        <v>100</v>
      </c>
    </row>
    <row r="15" spans="1:34" ht="15.3">
      <c r="A15" s="9">
        <v>37</v>
      </c>
      <c r="B15" s="43">
        <v>395484</v>
      </c>
      <c r="C15" s="44">
        <v>397362</v>
      </c>
      <c r="D15" s="44">
        <v>398663</v>
      </c>
      <c r="E15" s="44">
        <v>400541</v>
      </c>
      <c r="F15" s="45">
        <v>401841</v>
      </c>
      <c r="G15" s="43">
        <v>32957</v>
      </c>
      <c r="H15" s="44">
        <v>33113.5</v>
      </c>
      <c r="I15" s="44">
        <v>33221.919999999998</v>
      </c>
      <c r="J15" s="44">
        <v>33378.42</v>
      </c>
      <c r="K15" s="44">
        <v>33486.75</v>
      </c>
      <c r="L15" s="43">
        <v>395484</v>
      </c>
      <c r="M15" s="44">
        <v>397362</v>
      </c>
      <c r="N15" s="44">
        <v>398663</v>
      </c>
      <c r="O15" s="44">
        <v>400541</v>
      </c>
      <c r="P15" s="45">
        <v>401841</v>
      </c>
      <c r="R15" s="24">
        <v>4900</v>
      </c>
      <c r="S15" s="25">
        <f t="shared" si="4"/>
        <v>7320.6882000000005</v>
      </c>
      <c r="T15" s="33">
        <f t="shared" si="5"/>
        <v>610.05735000000004</v>
      </c>
      <c r="U15" s="33">
        <f t="shared" si="6"/>
        <v>1215.96631002</v>
      </c>
      <c r="V15" s="25">
        <f t="shared" si="0"/>
        <v>8536.6545100200001</v>
      </c>
      <c r="W15" s="34">
        <f t="shared" si="1"/>
        <v>1251.1056133800002</v>
      </c>
      <c r="X15" s="26">
        <f t="shared" si="2"/>
        <v>8571.7938133800017</v>
      </c>
      <c r="Y15" s="15"/>
      <c r="Z15" s="53" t="s">
        <v>58</v>
      </c>
      <c r="AA15" s="58"/>
      <c r="AB15" s="53">
        <f>SUM(AB9:AB13)</f>
        <v>59558.128061609183</v>
      </c>
    </row>
    <row r="16" spans="1:34" ht="15.3">
      <c r="A16" s="9">
        <v>38</v>
      </c>
      <c r="B16" s="43">
        <v>402650</v>
      </c>
      <c r="C16" s="44">
        <v>404222</v>
      </c>
      <c r="D16" s="44">
        <v>405311</v>
      </c>
      <c r="E16" s="44">
        <v>406883</v>
      </c>
      <c r="F16" s="45">
        <v>407973</v>
      </c>
      <c r="G16" s="43">
        <v>33554.17</v>
      </c>
      <c r="H16" s="44">
        <v>33685.17</v>
      </c>
      <c r="I16" s="44">
        <v>33775.919999999998</v>
      </c>
      <c r="J16" s="44">
        <v>33906.92</v>
      </c>
      <c r="K16" s="44">
        <v>33997.75</v>
      </c>
      <c r="L16" s="43">
        <v>402650</v>
      </c>
      <c r="M16" s="44">
        <v>404222</v>
      </c>
      <c r="N16" s="44">
        <v>405311</v>
      </c>
      <c r="O16" s="44">
        <v>406883</v>
      </c>
      <c r="P16" s="45">
        <v>407973</v>
      </c>
      <c r="R16" s="24">
        <v>5200</v>
      </c>
      <c r="S16" s="25">
        <f t="shared" si="4"/>
        <v>7768.8936000000003</v>
      </c>
      <c r="T16" s="33">
        <f t="shared" si="5"/>
        <v>647.40780000000007</v>
      </c>
      <c r="U16" s="33">
        <f t="shared" si="6"/>
        <v>1290.41322696</v>
      </c>
      <c r="V16" s="25">
        <f t="shared" si="0"/>
        <v>9059.3068269600008</v>
      </c>
      <c r="W16" s="34">
        <f t="shared" si="1"/>
        <v>1327.7039162400001</v>
      </c>
      <c r="X16" s="26">
        <f t="shared" si="2"/>
        <v>9096.5975162400009</v>
      </c>
      <c r="Y16" s="15"/>
      <c r="Z16" s="53" t="s">
        <v>59</v>
      </c>
      <c r="AA16" s="55"/>
      <c r="AB16" s="53">
        <f>AB15/12</f>
        <v>4963.1773384674316</v>
      </c>
    </row>
    <row r="17" spans="1:28" ht="15.3">
      <c r="A17" s="9">
        <v>39</v>
      </c>
      <c r="B17" s="43">
        <v>409843</v>
      </c>
      <c r="C17" s="44">
        <v>411053</v>
      </c>
      <c r="D17" s="44">
        <v>411891</v>
      </c>
      <c r="E17" s="44">
        <v>413101</v>
      </c>
      <c r="F17" s="45">
        <v>413941</v>
      </c>
      <c r="G17" s="43">
        <v>34153.58</v>
      </c>
      <c r="H17" s="44">
        <v>34254.42</v>
      </c>
      <c r="I17" s="44">
        <v>34324.25</v>
      </c>
      <c r="J17" s="44">
        <v>34425.08</v>
      </c>
      <c r="K17" s="44">
        <v>34495.08</v>
      </c>
      <c r="L17" s="43">
        <v>409843</v>
      </c>
      <c r="M17" s="44">
        <v>411053</v>
      </c>
      <c r="N17" s="44">
        <v>411891</v>
      </c>
      <c r="O17" s="44">
        <v>413101</v>
      </c>
      <c r="P17" s="45">
        <v>413941</v>
      </c>
      <c r="R17" s="24">
        <v>6000</v>
      </c>
      <c r="S17" s="25">
        <f t="shared" si="4"/>
        <v>8964.1080000000002</v>
      </c>
      <c r="T17" s="33">
        <f t="shared" si="5"/>
        <v>747.00900000000001</v>
      </c>
      <c r="U17" s="33">
        <f t="shared" si="6"/>
        <v>1488.9383387999999</v>
      </c>
      <c r="V17" s="25">
        <f t="shared" si="0"/>
        <v>10453.046338800001</v>
      </c>
      <c r="W17" s="34">
        <f t="shared" si="1"/>
        <v>1531.9660572</v>
      </c>
      <c r="X17" s="26">
        <f t="shared" si="2"/>
        <v>10496.0740572</v>
      </c>
      <c r="Y17" s="15"/>
      <c r="Z17" s="15"/>
      <c r="AA17" s="15"/>
      <c r="AB17" s="15"/>
    </row>
    <row r="18" spans="1:28" ht="15.3">
      <c r="A18" s="10">
        <v>40</v>
      </c>
      <c r="B18" s="50">
        <v>417200</v>
      </c>
      <c r="C18" s="51">
        <v>418028</v>
      </c>
      <c r="D18" s="51">
        <v>418601</v>
      </c>
      <c r="E18" s="51">
        <v>419431</v>
      </c>
      <c r="F18" s="52">
        <v>420004</v>
      </c>
      <c r="G18" s="50">
        <v>34766.67</v>
      </c>
      <c r="H18" s="51">
        <v>34835.67</v>
      </c>
      <c r="I18" s="51">
        <v>34883.42</v>
      </c>
      <c r="J18" s="51">
        <v>34952.58</v>
      </c>
      <c r="K18" s="51">
        <v>35000.33</v>
      </c>
      <c r="L18" s="50">
        <v>417200</v>
      </c>
      <c r="M18" s="51">
        <v>418028</v>
      </c>
      <c r="N18" s="51">
        <v>418601</v>
      </c>
      <c r="O18" s="51">
        <v>419431</v>
      </c>
      <c r="P18" s="52">
        <v>420004</v>
      </c>
      <c r="R18" s="24">
        <v>7000</v>
      </c>
      <c r="S18" s="25">
        <f t="shared" si="4"/>
        <v>10458.126</v>
      </c>
      <c r="T18" s="33">
        <f t="shared" si="5"/>
        <v>871.51049999999998</v>
      </c>
      <c r="U18" s="33">
        <f t="shared" si="6"/>
        <v>1737.0947286000001</v>
      </c>
      <c r="V18" s="25">
        <f t="shared" si="0"/>
        <v>12195.220728600001</v>
      </c>
      <c r="W18" s="34">
        <f t="shared" si="1"/>
        <v>1787.2937333999998</v>
      </c>
      <c r="X18" s="26">
        <f t="shared" si="2"/>
        <v>12245.4197334</v>
      </c>
      <c r="Y18" s="15"/>
      <c r="Z18" s="59" t="s">
        <v>60</v>
      </c>
      <c r="AA18" s="34"/>
      <c r="AB18" s="34"/>
    </row>
    <row r="19" spans="1:28" ht="15.3">
      <c r="A19" s="9">
        <v>41</v>
      </c>
      <c r="B19" s="43">
        <v>424716</v>
      </c>
      <c r="C19" s="44">
        <v>425140</v>
      </c>
      <c r="D19" s="44">
        <v>425436</v>
      </c>
      <c r="E19" s="44">
        <v>425859</v>
      </c>
      <c r="F19" s="45">
        <v>426155</v>
      </c>
      <c r="G19" s="43">
        <v>35393</v>
      </c>
      <c r="H19" s="44">
        <v>35428.33</v>
      </c>
      <c r="I19" s="44">
        <v>35453</v>
      </c>
      <c r="J19" s="44">
        <v>35488.25</v>
      </c>
      <c r="K19" s="44">
        <v>35512.92</v>
      </c>
      <c r="L19" s="43">
        <v>424716</v>
      </c>
      <c r="M19" s="44">
        <v>425140</v>
      </c>
      <c r="N19" s="44">
        <v>425436</v>
      </c>
      <c r="O19" s="44">
        <v>425859</v>
      </c>
      <c r="P19" s="45">
        <v>426155</v>
      </c>
      <c r="R19" s="60">
        <v>8100</v>
      </c>
      <c r="S19" s="25">
        <f t="shared" si="4"/>
        <v>12101.5458</v>
      </c>
      <c r="T19" s="33">
        <f t="shared" si="5"/>
        <v>1008.46215</v>
      </c>
      <c r="U19" s="33">
        <f t="shared" si="6"/>
        <v>2010.0667573799999</v>
      </c>
      <c r="V19" s="25">
        <f t="shared" si="0"/>
        <v>14111.61255738</v>
      </c>
      <c r="W19" s="34">
        <f t="shared" si="1"/>
        <v>2068.1541772199998</v>
      </c>
      <c r="X19" s="26">
        <f t="shared" si="2"/>
        <v>14169.69997722</v>
      </c>
      <c r="Y19" s="15"/>
      <c r="Z19" s="34" t="s">
        <v>61</v>
      </c>
      <c r="AA19" s="34"/>
      <c r="AB19" s="61">
        <f>E28</f>
        <v>574187</v>
      </c>
    </row>
    <row r="20" spans="1:28" ht="15.3">
      <c r="A20" s="9">
        <v>42</v>
      </c>
      <c r="B20" s="43">
        <v>432396</v>
      </c>
      <c r="C20" s="44">
        <v>432396</v>
      </c>
      <c r="D20" s="44">
        <v>432396</v>
      </c>
      <c r="E20" s="44">
        <v>432396</v>
      </c>
      <c r="F20" s="45">
        <v>432396</v>
      </c>
      <c r="G20" s="43">
        <v>36033</v>
      </c>
      <c r="H20" s="44">
        <v>36033</v>
      </c>
      <c r="I20" s="44">
        <v>36033</v>
      </c>
      <c r="J20" s="44">
        <v>36033</v>
      </c>
      <c r="K20" s="44">
        <v>36033</v>
      </c>
      <c r="L20" s="43">
        <v>432396</v>
      </c>
      <c r="M20" s="44">
        <v>432396</v>
      </c>
      <c r="N20" s="44">
        <v>432396</v>
      </c>
      <c r="O20" s="44">
        <v>432396</v>
      </c>
      <c r="P20" s="45">
        <v>432396</v>
      </c>
      <c r="R20" s="60">
        <v>9100</v>
      </c>
      <c r="S20" s="25">
        <f t="shared" si="4"/>
        <v>13595.5638</v>
      </c>
      <c r="T20" s="33">
        <f t="shared" si="5"/>
        <v>1132.9636499999999</v>
      </c>
      <c r="U20" s="33">
        <f t="shared" si="6"/>
        <v>2258.2231471799996</v>
      </c>
      <c r="V20" s="25">
        <f t="shared" si="0"/>
        <v>15853.78694718</v>
      </c>
      <c r="W20" s="34">
        <f t="shared" si="1"/>
        <v>2323.4818534199999</v>
      </c>
      <c r="X20" s="26">
        <f t="shared" si="2"/>
        <v>15919.04565342</v>
      </c>
      <c r="Y20" s="15"/>
      <c r="Z20" s="34" t="s">
        <v>62</v>
      </c>
      <c r="AA20" s="34" t="s">
        <v>63</v>
      </c>
      <c r="AB20" s="34">
        <f>30000*B36</f>
        <v>44820.54</v>
      </c>
    </row>
    <row r="21" spans="1:28" ht="15.3">
      <c r="A21" s="9">
        <v>43</v>
      </c>
      <c r="B21" s="43">
        <v>442005</v>
      </c>
      <c r="C21" s="44">
        <v>442005</v>
      </c>
      <c r="D21" s="44">
        <v>442005</v>
      </c>
      <c r="E21" s="44">
        <v>442005</v>
      </c>
      <c r="F21" s="45">
        <v>442005</v>
      </c>
      <c r="G21" s="43">
        <v>36833.75</v>
      </c>
      <c r="H21" s="44">
        <v>36833.75</v>
      </c>
      <c r="I21" s="44">
        <v>36833.75</v>
      </c>
      <c r="J21" s="44">
        <v>36833.75</v>
      </c>
      <c r="K21" s="44">
        <v>36833.75</v>
      </c>
      <c r="L21" s="43">
        <v>442005</v>
      </c>
      <c r="M21" s="44">
        <v>442005</v>
      </c>
      <c r="N21" s="44">
        <v>442005</v>
      </c>
      <c r="O21" s="44">
        <v>442005</v>
      </c>
      <c r="P21" s="45">
        <v>442005</v>
      </c>
      <c r="R21" s="60">
        <v>12000</v>
      </c>
      <c r="S21" s="25">
        <f t="shared" si="4"/>
        <v>17928.216</v>
      </c>
      <c r="T21" s="33">
        <f t="shared" si="5"/>
        <v>1494.018</v>
      </c>
      <c r="U21" s="33">
        <f t="shared" si="6"/>
        <v>2977.8766775999998</v>
      </c>
      <c r="V21" s="25">
        <f t="shared" si="0"/>
        <v>20906.092677600001</v>
      </c>
      <c r="W21" s="34">
        <f t="shared" si="1"/>
        <v>3063.9321144</v>
      </c>
      <c r="X21" s="26">
        <f t="shared" si="2"/>
        <v>20992.148114399999</v>
      </c>
      <c r="Y21" s="15"/>
      <c r="Z21" s="59" t="s">
        <v>64</v>
      </c>
      <c r="AA21" s="34"/>
      <c r="AB21" s="59">
        <f>SUM(AB19:AB20)</f>
        <v>619007.54</v>
      </c>
    </row>
    <row r="22" spans="1:28" ht="15.3">
      <c r="A22" s="9">
        <v>44</v>
      </c>
      <c r="B22" s="43">
        <v>451881</v>
      </c>
      <c r="C22" s="44">
        <v>451881</v>
      </c>
      <c r="D22" s="44">
        <v>451881</v>
      </c>
      <c r="E22" s="44">
        <v>451881</v>
      </c>
      <c r="F22" s="45">
        <v>451881</v>
      </c>
      <c r="G22" s="43">
        <v>37656.75</v>
      </c>
      <c r="H22" s="44">
        <v>37656.75</v>
      </c>
      <c r="I22" s="44">
        <v>37656.75</v>
      </c>
      <c r="J22" s="44">
        <v>37656.75</v>
      </c>
      <c r="K22" s="44">
        <v>37656.75</v>
      </c>
      <c r="L22" s="43">
        <v>451881</v>
      </c>
      <c r="M22" s="44">
        <v>451881</v>
      </c>
      <c r="N22" s="44">
        <v>451881</v>
      </c>
      <c r="O22" s="44">
        <v>451881</v>
      </c>
      <c r="P22" s="45">
        <v>451881</v>
      </c>
      <c r="R22" s="60">
        <v>20300</v>
      </c>
      <c r="S22" s="25">
        <f t="shared" si="4"/>
        <v>30328.565400000003</v>
      </c>
      <c r="T22" s="33">
        <f t="shared" si="5"/>
        <v>2527.3804500000001</v>
      </c>
      <c r="U22" s="33">
        <f t="shared" si="6"/>
        <v>5037.5747129400006</v>
      </c>
      <c r="V22" s="25">
        <f t="shared" si="0"/>
        <v>35366.140112940004</v>
      </c>
      <c r="W22" s="34">
        <f t="shared" si="1"/>
        <v>5183.1518268600012</v>
      </c>
      <c r="X22" s="26">
        <f t="shared" si="2"/>
        <v>35511.717226860004</v>
      </c>
      <c r="Y22" s="15"/>
      <c r="Z22" s="59" t="s">
        <v>65</v>
      </c>
      <c r="AA22" s="34"/>
      <c r="AB22" s="59">
        <f>AB21/12</f>
        <v>51583.96166666667</v>
      </c>
    </row>
    <row r="23" spans="1:28" ht="15.3">
      <c r="A23" s="10">
        <v>45</v>
      </c>
      <c r="B23" s="50">
        <v>462027</v>
      </c>
      <c r="C23" s="51">
        <v>462027</v>
      </c>
      <c r="D23" s="51">
        <v>462027</v>
      </c>
      <c r="E23" s="51">
        <v>462027</v>
      </c>
      <c r="F23" s="52">
        <v>462027</v>
      </c>
      <c r="G23" s="50">
        <v>38502.25</v>
      </c>
      <c r="H23" s="51">
        <v>38502.25</v>
      </c>
      <c r="I23" s="51">
        <v>38502.25</v>
      </c>
      <c r="J23" s="51">
        <v>38502.25</v>
      </c>
      <c r="K23" s="51">
        <v>38502.25</v>
      </c>
      <c r="L23" s="50">
        <v>462027</v>
      </c>
      <c r="M23" s="51">
        <v>462027</v>
      </c>
      <c r="N23" s="51">
        <v>462027</v>
      </c>
      <c r="O23" s="51">
        <v>462027</v>
      </c>
      <c r="P23" s="52">
        <v>462027</v>
      </c>
      <c r="R23" s="60">
        <v>30600</v>
      </c>
      <c r="S23" s="25">
        <f t="shared" si="4"/>
        <v>45716.950799999999</v>
      </c>
      <c r="T23" s="33">
        <f t="shared" si="5"/>
        <v>3809.7458999999999</v>
      </c>
      <c r="U23" s="33">
        <f>S23*16.61/100</f>
        <v>7593.58552788</v>
      </c>
      <c r="V23" s="25">
        <f t="shared" si="0"/>
        <v>53310.53632788</v>
      </c>
      <c r="W23" s="34">
        <f t="shared" si="1"/>
        <v>7813.0268917199992</v>
      </c>
      <c r="X23" s="26">
        <f t="shared" si="2"/>
        <v>53529.97769172</v>
      </c>
      <c r="Y23" s="15"/>
      <c r="Z23" s="34"/>
      <c r="AA23" s="34"/>
      <c r="AB23" s="34"/>
    </row>
    <row r="24" spans="1:28" ht="15.6" thickBot="1">
      <c r="A24" s="9">
        <v>46</v>
      </c>
      <c r="B24" s="43">
        <v>472452</v>
      </c>
      <c r="C24" s="44">
        <v>472452</v>
      </c>
      <c r="D24" s="44">
        <v>472452</v>
      </c>
      <c r="E24" s="44">
        <v>472452</v>
      </c>
      <c r="F24" s="45">
        <v>472452</v>
      </c>
      <c r="G24" s="43">
        <v>39371</v>
      </c>
      <c r="H24" s="44">
        <v>39371</v>
      </c>
      <c r="I24" s="44">
        <v>39371</v>
      </c>
      <c r="J24" s="44">
        <v>39371</v>
      </c>
      <c r="K24" s="44">
        <v>39371</v>
      </c>
      <c r="L24" s="43">
        <v>472452</v>
      </c>
      <c r="M24" s="44">
        <v>472452</v>
      </c>
      <c r="N24" s="44">
        <v>472452</v>
      </c>
      <c r="O24" s="44">
        <v>472452</v>
      </c>
      <c r="P24" s="45">
        <v>472452</v>
      </c>
      <c r="R24" s="62">
        <v>41000</v>
      </c>
      <c r="S24" s="63">
        <f t="shared" si="4"/>
        <v>61254.738000000005</v>
      </c>
      <c r="T24" s="64">
        <f t="shared" si="5"/>
        <v>5104.5615000000007</v>
      </c>
      <c r="U24" s="64">
        <f t="shared" ref="U24" si="7">S24*16.61/100</f>
        <v>10174.4119818</v>
      </c>
      <c r="V24" s="63">
        <f t="shared" si="0"/>
        <v>71429.149981800001</v>
      </c>
      <c r="W24" s="65">
        <f t="shared" si="1"/>
        <v>10468.4347242</v>
      </c>
      <c r="X24" s="66">
        <f t="shared" si="2"/>
        <v>71723.172724200005</v>
      </c>
      <c r="Y24" s="15"/>
      <c r="Z24" s="15"/>
      <c r="AA24" s="15"/>
      <c r="AB24" s="15"/>
    </row>
    <row r="25" spans="1:28" ht="15.3">
      <c r="A25" s="9">
        <v>47</v>
      </c>
      <c r="B25" s="43">
        <v>480862</v>
      </c>
      <c r="C25" s="44">
        <v>480862</v>
      </c>
      <c r="D25" s="44">
        <v>480862</v>
      </c>
      <c r="E25" s="44">
        <v>480862</v>
      </c>
      <c r="F25" s="45">
        <v>480862</v>
      </c>
      <c r="G25" s="43">
        <v>40071.83</v>
      </c>
      <c r="H25" s="44">
        <v>40071.83</v>
      </c>
      <c r="I25" s="44">
        <v>40071.83</v>
      </c>
      <c r="J25" s="44">
        <v>40071.83</v>
      </c>
      <c r="K25" s="44">
        <v>40071.83</v>
      </c>
      <c r="L25" s="43">
        <v>480862</v>
      </c>
      <c r="M25" s="44">
        <v>480862</v>
      </c>
      <c r="N25" s="44">
        <v>480862</v>
      </c>
      <c r="O25" s="44">
        <v>480862</v>
      </c>
      <c r="P25" s="45">
        <v>480862</v>
      </c>
      <c r="R25" s="15"/>
      <c r="S25" s="15"/>
      <c r="T25" s="15"/>
      <c r="U25" s="15"/>
      <c r="V25" s="15"/>
      <c r="W25" s="15"/>
      <c r="X25" s="15"/>
      <c r="Y25" s="15"/>
      <c r="Z25" s="15"/>
      <c r="AA25" s="15" t="s">
        <v>66</v>
      </c>
      <c r="AB25" s="67">
        <f>O28</f>
        <v>587730</v>
      </c>
    </row>
    <row r="26" spans="1:28" ht="15.3">
      <c r="A26" s="9">
        <v>48</v>
      </c>
      <c r="B26" s="43">
        <v>502966</v>
      </c>
      <c r="C26" s="44">
        <v>502966</v>
      </c>
      <c r="D26" s="44">
        <v>502966</v>
      </c>
      <c r="E26" s="44">
        <v>502966</v>
      </c>
      <c r="F26" s="45">
        <v>502966</v>
      </c>
      <c r="G26" s="43">
        <v>41913.83</v>
      </c>
      <c r="H26" s="44">
        <v>41913.83</v>
      </c>
      <c r="I26" s="44">
        <v>41913.83</v>
      </c>
      <c r="J26" s="44">
        <v>41913.83</v>
      </c>
      <c r="K26" s="44">
        <v>41913.83</v>
      </c>
      <c r="L26" s="43">
        <v>502966</v>
      </c>
      <c r="M26" s="44">
        <v>502966</v>
      </c>
      <c r="N26" s="44">
        <v>502966</v>
      </c>
      <c r="O26" s="44">
        <v>502966</v>
      </c>
      <c r="P26" s="45">
        <v>502966</v>
      </c>
      <c r="R26" s="15"/>
      <c r="S26" s="15"/>
      <c r="T26" s="15"/>
      <c r="U26" s="15"/>
      <c r="V26" s="15"/>
      <c r="W26" s="15"/>
      <c r="X26" s="15"/>
      <c r="Y26" s="15"/>
      <c r="Z26" s="53" t="s">
        <v>67</v>
      </c>
      <c r="AA26" s="25"/>
    </row>
    <row r="27" spans="1:28" ht="15.3">
      <c r="A27" s="9">
        <v>49</v>
      </c>
      <c r="B27" s="43">
        <v>536720</v>
      </c>
      <c r="C27" s="44">
        <v>536720</v>
      </c>
      <c r="D27" s="44">
        <v>536720</v>
      </c>
      <c r="E27" s="44">
        <v>536720</v>
      </c>
      <c r="F27" s="45">
        <v>536720</v>
      </c>
      <c r="G27" s="43">
        <v>44726.67</v>
      </c>
      <c r="H27" s="44">
        <v>44726.67</v>
      </c>
      <c r="I27" s="44">
        <v>44726.67</v>
      </c>
      <c r="J27" s="44">
        <v>44726.67</v>
      </c>
      <c r="K27" s="44">
        <v>44726.67</v>
      </c>
      <c r="L27" s="43">
        <v>536720</v>
      </c>
      <c r="M27" s="44">
        <v>536720</v>
      </c>
      <c r="N27" s="44">
        <v>536720</v>
      </c>
      <c r="O27" s="44">
        <v>536720</v>
      </c>
      <c r="P27" s="45">
        <v>536720</v>
      </c>
      <c r="X27" s="15"/>
      <c r="Y27" s="15"/>
      <c r="Z27" s="68" t="s">
        <v>68</v>
      </c>
      <c r="AA27" s="69" t="s">
        <v>69</v>
      </c>
      <c r="AB27" s="70"/>
    </row>
    <row r="28" spans="1:28" ht="15.3">
      <c r="A28" s="10">
        <v>50</v>
      </c>
      <c r="B28" s="50">
        <v>574187</v>
      </c>
      <c r="C28" s="51">
        <v>574187</v>
      </c>
      <c r="D28" s="51">
        <v>574187</v>
      </c>
      <c r="E28" s="51">
        <v>574187</v>
      </c>
      <c r="F28" s="52">
        <v>574187</v>
      </c>
      <c r="G28" s="50">
        <v>47848.92</v>
      </c>
      <c r="H28" s="51">
        <v>47848.92</v>
      </c>
      <c r="I28" s="51">
        <v>47848.92</v>
      </c>
      <c r="J28" s="51">
        <v>47848.92</v>
      </c>
      <c r="K28" s="51">
        <v>47848.92</v>
      </c>
      <c r="L28" s="50">
        <v>587730</v>
      </c>
      <c r="M28" s="51">
        <v>587730</v>
      </c>
      <c r="N28" s="51">
        <v>587730</v>
      </c>
      <c r="O28" s="51">
        <v>587730</v>
      </c>
      <c r="P28" s="52">
        <v>587730</v>
      </c>
      <c r="X28" s="15"/>
      <c r="Y28" s="15"/>
      <c r="Z28" s="68"/>
      <c r="AA28" s="71">
        <v>100</v>
      </c>
      <c r="AB28" s="70">
        <f>B38*O28/100</f>
        <v>100443.05699999999</v>
      </c>
    </row>
    <row r="29" spans="1:28" ht="15.3">
      <c r="A29" s="9">
        <v>51</v>
      </c>
      <c r="B29" s="43">
        <v>634232</v>
      </c>
      <c r="C29" s="44">
        <v>634232</v>
      </c>
      <c r="D29" s="44">
        <v>634232</v>
      </c>
      <c r="E29" s="44">
        <v>634232</v>
      </c>
      <c r="F29" s="45">
        <v>634232</v>
      </c>
      <c r="G29" s="43">
        <v>52852.67</v>
      </c>
      <c r="H29" s="44">
        <v>52852.67</v>
      </c>
      <c r="I29" s="44">
        <v>52852.67</v>
      </c>
      <c r="J29" s="44">
        <v>52852.67</v>
      </c>
      <c r="K29" s="44">
        <v>52852.67</v>
      </c>
      <c r="L29" s="43">
        <v>651304</v>
      </c>
      <c r="M29" s="44">
        <v>651304</v>
      </c>
      <c r="N29" s="44">
        <v>651304</v>
      </c>
      <c r="O29" s="44">
        <v>651304</v>
      </c>
      <c r="P29" s="45">
        <v>651304</v>
      </c>
      <c r="X29" s="15"/>
      <c r="Y29" s="15"/>
      <c r="Z29" s="68" t="s">
        <v>70</v>
      </c>
      <c r="AA29" s="69" t="s">
        <v>71</v>
      </c>
      <c r="AB29" s="68"/>
    </row>
    <row r="30" spans="1:28" ht="15.3">
      <c r="A30" s="9">
        <v>52</v>
      </c>
      <c r="B30" s="43">
        <v>721676</v>
      </c>
      <c r="C30" s="44">
        <v>721676</v>
      </c>
      <c r="D30" s="44">
        <v>721676</v>
      </c>
      <c r="E30" s="44">
        <v>721676</v>
      </c>
      <c r="F30" s="45">
        <v>721676</v>
      </c>
      <c r="G30" s="43">
        <v>60139.67</v>
      </c>
      <c r="H30" s="44">
        <v>60139.67</v>
      </c>
      <c r="I30" s="44">
        <v>60139.67</v>
      </c>
      <c r="J30" s="44">
        <v>60139.67</v>
      </c>
      <c r="K30" s="44">
        <v>60139.67</v>
      </c>
      <c r="L30" s="43">
        <v>741766</v>
      </c>
      <c r="M30" s="44">
        <v>741766</v>
      </c>
      <c r="N30" s="44">
        <v>741766</v>
      </c>
      <c r="O30" s="44">
        <v>741766</v>
      </c>
      <c r="P30" s="45">
        <v>741766</v>
      </c>
      <c r="X30" s="15"/>
      <c r="Y30" s="15"/>
      <c r="Z30" s="68"/>
      <c r="AA30" s="72">
        <v>100</v>
      </c>
      <c r="AB30" s="70">
        <f>B36*30000*B38/100</f>
        <v>7659.8302859999994</v>
      </c>
    </row>
    <row r="31" spans="1:28" ht="15.3">
      <c r="A31" s="9">
        <v>53</v>
      </c>
      <c r="B31" s="43">
        <v>792373</v>
      </c>
      <c r="C31" s="44">
        <v>792373</v>
      </c>
      <c r="D31" s="44">
        <v>792373</v>
      </c>
      <c r="E31" s="44">
        <v>792373</v>
      </c>
      <c r="F31" s="45">
        <v>792373</v>
      </c>
      <c r="G31" s="43">
        <v>66031.08</v>
      </c>
      <c r="H31" s="44">
        <v>66031.08</v>
      </c>
      <c r="I31" s="44">
        <v>66031.08</v>
      </c>
      <c r="J31" s="44">
        <v>66031.08</v>
      </c>
      <c r="K31" s="44">
        <v>66031.08</v>
      </c>
      <c r="L31" s="43">
        <v>825709</v>
      </c>
      <c r="M31" s="44">
        <v>825709</v>
      </c>
      <c r="N31" s="44">
        <v>825709</v>
      </c>
      <c r="O31" s="44">
        <v>825709</v>
      </c>
      <c r="P31" s="45">
        <v>825709</v>
      </c>
      <c r="X31" s="15"/>
      <c r="Y31" s="15"/>
      <c r="Z31" s="73" t="s">
        <v>72</v>
      </c>
      <c r="AA31" s="68"/>
      <c r="AB31" s="74">
        <f>SUM(AB28:AB30)</f>
        <v>108102.88728599998</v>
      </c>
    </row>
    <row r="32" spans="1:28" ht="15.3">
      <c r="A32" s="9">
        <v>54</v>
      </c>
      <c r="B32" s="43">
        <v>886623</v>
      </c>
      <c r="C32" s="44">
        <v>886623</v>
      </c>
      <c r="D32" s="44">
        <v>886623</v>
      </c>
      <c r="E32" s="44">
        <v>886623</v>
      </c>
      <c r="F32" s="45">
        <v>886623</v>
      </c>
      <c r="G32" s="43">
        <v>73885.25</v>
      </c>
      <c r="H32" s="44">
        <v>73885.25</v>
      </c>
      <c r="I32" s="44">
        <v>73885.25</v>
      </c>
      <c r="J32" s="44">
        <v>73885.25</v>
      </c>
      <c r="K32" s="44">
        <v>73885.25</v>
      </c>
      <c r="L32" s="43">
        <v>930331</v>
      </c>
      <c r="M32" s="44">
        <v>930331</v>
      </c>
      <c r="N32" s="44">
        <v>930331</v>
      </c>
      <c r="O32" s="44">
        <v>930331</v>
      </c>
      <c r="P32" s="45">
        <v>930331</v>
      </c>
      <c r="X32" s="15"/>
      <c r="Y32" s="15"/>
      <c r="Z32" s="53" t="s">
        <v>73</v>
      </c>
      <c r="AA32" s="25"/>
      <c r="AB32" s="25">
        <f>AB31/12</f>
        <v>9008.5739404999986</v>
      </c>
    </row>
    <row r="33" spans="1:28" ht="15.3">
      <c r="A33" s="10">
        <v>55</v>
      </c>
      <c r="B33" s="50">
        <v>999913</v>
      </c>
      <c r="C33" s="51">
        <v>999913</v>
      </c>
      <c r="D33" s="51">
        <v>999913</v>
      </c>
      <c r="E33" s="51">
        <v>999913</v>
      </c>
      <c r="F33" s="52">
        <v>999913</v>
      </c>
      <c r="G33" s="50">
        <v>83326.080000000002</v>
      </c>
      <c r="H33" s="51">
        <v>83326.080000000002</v>
      </c>
      <c r="I33" s="51">
        <v>83326.080000000002</v>
      </c>
      <c r="J33" s="51">
        <v>83326.080000000002</v>
      </c>
      <c r="K33" s="51">
        <v>83326.080000000002</v>
      </c>
      <c r="L33" s="50">
        <v>1043621</v>
      </c>
      <c r="M33" s="51">
        <v>1043621</v>
      </c>
      <c r="N33" s="51">
        <v>1043621</v>
      </c>
      <c r="O33" s="51">
        <v>1043621</v>
      </c>
      <c r="P33" s="52">
        <v>1043621</v>
      </c>
      <c r="Z33" s="15"/>
      <c r="AA33" s="15"/>
      <c r="AB33" s="15"/>
    </row>
    <row r="34" spans="1:28" ht="15.3">
      <c r="A34" s="8" t="s">
        <v>13</v>
      </c>
      <c r="B34" s="50">
        <v>1126951</v>
      </c>
      <c r="C34" s="51">
        <v>1126951</v>
      </c>
      <c r="D34" s="51">
        <v>1126951</v>
      </c>
      <c r="E34" s="51">
        <v>1126951</v>
      </c>
      <c r="F34" s="52">
        <v>1126951</v>
      </c>
      <c r="G34" s="50">
        <v>93912.58</v>
      </c>
      <c r="H34" s="51">
        <v>93912.58</v>
      </c>
      <c r="I34" s="51">
        <v>93912.58</v>
      </c>
      <c r="J34" s="51">
        <v>93912.58</v>
      </c>
      <c r="K34" s="51">
        <v>93912.58</v>
      </c>
      <c r="L34" s="50">
        <v>1170662</v>
      </c>
      <c r="M34" s="51">
        <v>1170662</v>
      </c>
      <c r="N34" s="51">
        <v>1170662</v>
      </c>
      <c r="O34" s="51">
        <v>1170662</v>
      </c>
      <c r="P34" s="52">
        <v>1170662</v>
      </c>
      <c r="Z34" s="15"/>
      <c r="AA34" s="75"/>
      <c r="AB34" s="15"/>
    </row>
    <row r="35" spans="1:28">
      <c r="Z35" s="53" t="s">
        <v>74</v>
      </c>
      <c r="AA35" s="25">
        <f>54*B36</f>
        <v>80.676972000000006</v>
      </c>
      <c r="AB35" s="76"/>
    </row>
    <row r="36" spans="1:28">
      <c r="A36" s="3" t="s">
        <v>14</v>
      </c>
      <c r="B36" s="77">
        <v>1.4940180000000001</v>
      </c>
      <c r="Z36" s="53" t="s">
        <v>75</v>
      </c>
      <c r="AA36" s="25">
        <f>5.82*B36</f>
        <v>8.6951847600000001</v>
      </c>
      <c r="AB36" s="76"/>
    </row>
    <row r="37" spans="1:28">
      <c r="A37" s="3" t="s">
        <v>15</v>
      </c>
      <c r="B37" s="78">
        <v>16.61</v>
      </c>
      <c r="Z37" s="53" t="s">
        <v>76</v>
      </c>
      <c r="AA37" s="25">
        <f>127.33*B36</f>
        <v>190.23331193999999</v>
      </c>
      <c r="AB37" s="76"/>
    </row>
    <row r="38" spans="1:28">
      <c r="A38" s="3" t="s">
        <v>16</v>
      </c>
      <c r="B38" s="78">
        <v>17.09</v>
      </c>
      <c r="Z38" s="53" t="s">
        <v>77</v>
      </c>
      <c r="AA38" s="25">
        <f>289.62*B36</f>
        <v>432.69749316000002</v>
      </c>
      <c r="AB38" s="76"/>
    </row>
    <row r="43" spans="1:28" ht="28.8">
      <c r="A43" s="79"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4"/>
  <cols>
    <col min="1" max="1" width="18.3671875" bestFit="1" customWidth="1"/>
    <col min="2" max="2" width="18.734375" bestFit="1" customWidth="1"/>
    <col min="3" max="3" width="18.41796875" bestFit="1" customWidth="1"/>
    <col min="4" max="4" width="14.62890625" bestFit="1" customWidth="1"/>
    <col min="5" max="5" width="17.20703125" bestFit="1" customWidth="1"/>
  </cols>
  <sheetData>
    <row r="1" spans="1:5" ht="15.3" thickBot="1">
      <c r="A1" s="19" t="s">
        <v>22</v>
      </c>
      <c r="B1" s="21" t="s">
        <v>24</v>
      </c>
      <c r="C1" s="22" t="s">
        <v>25</v>
      </c>
      <c r="D1" s="23" t="s">
        <v>26</v>
      </c>
      <c r="E1" s="20" t="s">
        <v>23</v>
      </c>
    </row>
    <row r="2" spans="1:5" ht="15.6" thickBot="1">
      <c r="A2" s="28" t="s">
        <v>36</v>
      </c>
      <c r="B2" s="30">
        <v>94.65</v>
      </c>
      <c r="C2" s="31">
        <v>189.35</v>
      </c>
      <c r="D2" s="32">
        <f>B2+C2</f>
        <v>284</v>
      </c>
      <c r="E2" s="29" t="s">
        <v>37</v>
      </c>
    </row>
    <row r="3" spans="1:5" ht="15.6" thickBot="1">
      <c r="A3" s="28" t="s">
        <v>40</v>
      </c>
      <c r="B3" s="30">
        <v>63.1</v>
      </c>
      <c r="C3" s="31">
        <v>126.25</v>
      </c>
      <c r="D3" s="32">
        <f t="shared" ref="D3:D5" si="0">B3+C3</f>
        <v>189.35</v>
      </c>
      <c r="E3" s="29" t="s">
        <v>41</v>
      </c>
    </row>
    <row r="4" spans="1:5" ht="15.6" thickBot="1">
      <c r="A4" s="28" t="s">
        <v>43</v>
      </c>
      <c r="B4" s="30">
        <v>31.55</v>
      </c>
      <c r="C4" s="31">
        <v>63.1</v>
      </c>
      <c r="D4" s="32">
        <f t="shared" si="0"/>
        <v>94.65</v>
      </c>
      <c r="E4" s="29" t="s">
        <v>44</v>
      </c>
    </row>
    <row r="5" spans="1:5" ht="15.6" thickBot="1">
      <c r="A5" s="46" t="s">
        <v>46</v>
      </c>
      <c r="B5" s="48">
        <v>0</v>
      </c>
      <c r="C5" s="49">
        <v>0</v>
      </c>
      <c r="D5" s="32">
        <f t="shared" si="0"/>
        <v>0</v>
      </c>
      <c r="E5" s="47" t="s">
        <v>47</v>
      </c>
    </row>
    <row r="9" spans="1:5">
      <c r="A9" t="s">
        <v>234</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0C9170-A13E-4B49-B341-3D19AAB27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Skoler, stedtillæg</vt:lpstr>
      <vt:lpstr>Løntabeller, pension, omregning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DMpF</cp:lastModifiedBy>
  <cp:revision/>
  <dcterms:created xsi:type="dcterms:W3CDTF">2019-12-10T13:23:03Z</dcterms:created>
  <dcterms:modified xsi:type="dcterms:W3CDTF">2023-04-27T13:53:56Z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